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апки и изделия из экокожи,чехл" sheetId="1" r:id="rId3"/>
    <sheet state="visible" name="Прайс по ленточкам и акссесуара" sheetId="2" r:id="rId4"/>
    <sheet state="hidden" name="Папки и изделия из ПВХ" sheetId="3" r:id="rId5"/>
    <sheet state="hidden" name="Лист8" sheetId="4" r:id="rId6"/>
    <sheet state="hidden" name="Подарочные наборы" sheetId="5" r:id="rId7"/>
    <sheet state="hidden" name="Лист7" sheetId="6" r:id="rId8"/>
    <sheet state="hidden" name="Стоимость образцов продукции" sheetId="7" r:id="rId9"/>
    <sheet state="hidden" name="Лист5" sheetId="8" r:id="rId10"/>
  </sheets>
  <definedNames/>
  <calcPr/>
</workbook>
</file>

<file path=xl/sharedStrings.xml><?xml version="1.0" encoding="utf-8"?>
<sst xmlns="http://schemas.openxmlformats.org/spreadsheetml/2006/main" count="462" uniqueCount="138">
  <si>
    <t xml:space="preserve"> ИЗДЕЛИЯ (Искусственная Кожа)</t>
  </si>
  <si>
    <t>Обложка для паспорта</t>
  </si>
  <si>
    <t>50 шт</t>
  </si>
  <si>
    <t>100 шт</t>
  </si>
  <si>
    <t>200 шт</t>
  </si>
  <si>
    <t>300 шт</t>
  </si>
  <si>
    <t>500 шт</t>
  </si>
  <si>
    <t xml:space="preserve">1000 шт </t>
  </si>
  <si>
    <t>2000 шт</t>
  </si>
  <si>
    <t xml:space="preserve">3000 шт </t>
  </si>
  <si>
    <t>5000 шт</t>
  </si>
  <si>
    <t>КОП-01</t>
  </si>
  <si>
    <t>Обложка для паспорта искусственная кожа с персонализацией, дополнительные отделения,  135х195 мм</t>
  </si>
  <si>
    <t>КОП-01П</t>
  </si>
  <si>
    <t>Обложка для паспорта искусственная кожа с полноцветной печатью, дополнительные отделения,135х195 мм</t>
  </si>
  <si>
    <t>КОП-02</t>
  </si>
  <si>
    <t>Обложка для паспорта искусственная кожа с персонализацией , 131х188 мм</t>
  </si>
  <si>
    <t>КОП-02П</t>
  </si>
  <si>
    <t>Обложка для паспорта искусственная кожа с полноцветной печатью, 131х188 мм</t>
  </si>
  <si>
    <t>Обложка для студенческого</t>
  </si>
  <si>
    <t>КОУ-01</t>
  </si>
  <si>
    <t>Обложка для студенческого искусственная кожа с персонализацией, 216х78 мм</t>
  </si>
  <si>
    <t>КОУ-01П</t>
  </si>
  <si>
    <t>Обложка для студенческого искусственная кожа с полноцветной печатью, 216х78 мм</t>
  </si>
  <si>
    <t>Обложки для автодокументов</t>
  </si>
  <si>
    <t>КОД-01</t>
  </si>
  <si>
    <t>Обложка для автодокументов искусственная кожа с персонализацией, дополнительные отделения, 135х195 мм</t>
  </si>
  <si>
    <t>КОД-01П</t>
  </si>
  <si>
    <t>Обложка для автодокументов искусственная кожа с полноцветной печатью, дополнительные отделения,135х195 мм</t>
  </si>
  <si>
    <t>Органайзер для путешественника</t>
  </si>
  <si>
    <t xml:space="preserve">500 шт </t>
  </si>
  <si>
    <t>КОХП-01</t>
  </si>
  <si>
    <t>Органайзер для путешественника искусственная кожа с персонализацией, дополнительные отделения, 98х215</t>
  </si>
  <si>
    <t>КОХП-01П</t>
  </si>
  <si>
    <t>Органайзер для путешественника искусственная кожа с полноцветной печатью, дополнительные отделения, 98х215</t>
  </si>
  <si>
    <t>КОХП-02</t>
  </si>
  <si>
    <t>Органайзер для путешественника семейный искусственная кожа с персонализацией, дополнительные отделения, 150х230</t>
  </si>
  <si>
    <t>КОХП-02П</t>
  </si>
  <si>
    <t>Органайзер для путешественника семейный искусственная кожа с полноцветной печатью, дополнительные отделения, 150х230</t>
  </si>
  <si>
    <t>Багажная Бирка</t>
  </si>
  <si>
    <t>ББ-01</t>
  </si>
  <si>
    <t>Багажная бирка искусственная кожа с персонализацией</t>
  </si>
  <si>
    <t>ББ-01П</t>
  </si>
  <si>
    <t>Багажная бирка искусственная кожа с полноцветной печатью</t>
  </si>
  <si>
    <t>ББ-02</t>
  </si>
  <si>
    <t>Багажная бирка на резинке, искусственная кожа с персонализацией</t>
  </si>
  <si>
    <t>ББ-02П</t>
  </si>
  <si>
    <t>Багажная бирка на резинке, искусственная кожа с полноцветной печатью</t>
  </si>
  <si>
    <t>Футляр для очков</t>
  </si>
  <si>
    <t>ФО-1</t>
  </si>
  <si>
    <t>Футляр для очков искусственная кожа с персонализацией</t>
  </si>
  <si>
    <t>ФО-1П</t>
  </si>
  <si>
    <t>Футляр для очков искусственная кожа с полноцветной печатью</t>
  </si>
  <si>
    <t>https://drive.google.com/open?id=1BmN2IRNzhs0bL0WKg7J-BG6vSLwMjQwf</t>
  </si>
  <si>
    <t>Тираж</t>
  </si>
  <si>
    <t>№ п/п</t>
  </si>
  <si>
    <t>Набор с полноцветной печатью (на 3 изделия : Обложка на паспорт, чехол для пластиковой карты и тур конверт)</t>
  </si>
  <si>
    <t>Шелкография на коробке</t>
  </si>
  <si>
    <t>Ложемент 10+10мм EPF (elastic polyurethane foam)</t>
  </si>
  <si>
    <t>Подарочная коробка</t>
  </si>
  <si>
    <t>Сборка</t>
  </si>
  <si>
    <t>итог:</t>
  </si>
  <si>
    <t>Подарочный набор на 3 изделия : Турконверт, обложка для паспорта, футляр на 4 карты) с полноцветной печатью</t>
  </si>
  <si>
    <t>Набор с блинтовым тиснением (на 3 изделия : Обложка на паспорт, чехол для пластиковой карты и тур конверт)</t>
  </si>
  <si>
    <t>Подарочная коробка 25х25см</t>
  </si>
  <si>
    <t>итого:</t>
  </si>
  <si>
    <t xml:space="preserve">Подарочный набор на 3 изделия : Турконверт, обложка для паспорта, футляр на 4 карты) с блинтом </t>
  </si>
  <si>
    <t>Стоимость образца</t>
  </si>
  <si>
    <t>https://drive.google.com/open?id=1szic7hULgTM4BhZoObOJaXJUKXC_JMZ1</t>
  </si>
  <si>
    <t>Подарочный набор на 3 изделия : Турконверт, обложка для паспорта, чехол для пластиковых карт с доп. карманом) с полноцветной печатью</t>
  </si>
  <si>
    <t>Family travel set (на 5 изделий : 4 богажные бирки на резнике, семейный турконверт) с полноцветом</t>
  </si>
  <si>
    <t>Подарочный набор на 3 изделия : Турконверт, обложка для паспорта, чехол для пластиковых карт с доп. карманом) с блинтом</t>
  </si>
  <si>
    <t>Family travel set (на 5 изделий : 4 богажные бирки на резнике, семейный турконверт) с блинтовым тиснением</t>
  </si>
  <si>
    <t>https://drive.google.com/open?id=1YnF8fvxztmAk4Se5Lc9_0Ws93RqVB7Cx</t>
  </si>
  <si>
    <t>Набор с полноцветной печатью (на 3 изделия : Обожка на паспорт, чехол для пластиковой карты и тур конверт)</t>
  </si>
  <si>
    <t>Тиражи</t>
  </si>
  <si>
    <t>Family travel set (на 3 изделия : Багажная бирка, Турконверт и Паспорт") с полноцветной печатью</t>
  </si>
  <si>
    <t>мелочь - 3000 (чехлы футляры,карманы) , средняя - 5000 (папки, обложки, тур конверты) , большая 10000 рублей (планшеты, бювары)</t>
  </si>
  <si>
    <t>Подарочный набор на 3 изделия</t>
  </si>
  <si>
    <t>50 шт.</t>
  </si>
  <si>
    <t>1000 шт</t>
  </si>
  <si>
    <t>POLR - 11EFP, Чехол вертикальный для пластиковой карты с  RFID блокиратором, Экокожа с Флок подложкой, полноцветная печать</t>
  </si>
  <si>
    <t>КОХП-01П, Органайзер для путешественника искусственная кожа с полноцветной печатью, дополнительные отделения, 98х215</t>
  </si>
  <si>
    <t>КОП-01П, Обложка для паспорта искусственная кожа с полноцветной печатью, дополнительные отделения,135х195 мм</t>
  </si>
  <si>
    <t>Подарочная коробка, 250х250х22мм, выбор цвета: https://www.doublev.ru/catalog/perepletnye-materialy/efalin/</t>
  </si>
  <si>
    <t>Family travel set (на 3 изделия : Багажная бирка, Турконверт и Паспорт") с блинтом</t>
  </si>
  <si>
    <t>Ложемент EVA, высота 10мм</t>
  </si>
  <si>
    <t>Лазерная гравировка на ложементе</t>
  </si>
  <si>
    <t>Шелкгорафия на коробке</t>
  </si>
  <si>
    <t>EVA 10мм на дно</t>
  </si>
  <si>
    <t>Итого:</t>
  </si>
  <si>
    <t>Family travel set (на 3 изделия : Багажная бирка на резинке, Турконверт и Паспорт") с полноцветной печатью</t>
  </si>
  <si>
    <t>Набор из однотонной продукции с блинтовым тиснением (на 3 изделия : Обожка на паспорт, чехол для пластиковой карты и тур конверт)</t>
  </si>
  <si>
    <t>POLR - 11EF,  Чехол вертикальный для пластиковой карты с  RFID блокиратором, Экокожа с Флок подложкой и персонализацией</t>
  </si>
  <si>
    <t>КОХП-01, Органайзер для путешественника искусственная кожа с персонализацией, дополнительные отделения, 98х215</t>
  </si>
  <si>
    <t>КОП-01, Обложка для паспорта искусственная кожа с персонализацией, дополнительные отделения,  135х195 мм</t>
  </si>
  <si>
    <t>Family travel set (на 3 изделия : Багажная бирка на резинке, Турконверт и автодокументница") с блинтом</t>
  </si>
  <si>
    <t>Необходимо оплатить стоимость штампа от 2000 до 7000 лей (взависимости от площади нанесения).</t>
  </si>
  <si>
    <t>Набор с полноцветной печатью (на 2 изделия : Обожка на паспорт и чехол для пластиковой карты)</t>
  </si>
  <si>
    <t>Подарочный набор на 2 изделия</t>
  </si>
  <si>
    <t>Подарочная коробка, 242х135х22мм, выбор цвета: https://www.doublev.ru/catalog/perepletnye-materialy/efalin/</t>
  </si>
  <si>
    <t>Family travel set (на 3 изделия : Футляр на 4 карты, Турконверт и Паспорт с доп. карманами") с блинтом</t>
  </si>
  <si>
    <t>Набор с блинтовым тиснением (на 2 изделия : Обожка на паспорт и чехол для пластиковой карты)</t>
  </si>
  <si>
    <t>FKKR-4E , Футляр - книжка для кредитных карт с четырьмя карманами, RFID блокиратор, экокожа с персонализацией</t>
  </si>
  <si>
    <t>Подарочный набор на 3 изделия : Обложка для блокнота формата А6, обложка для паспорта, футляр на 4 карты) с полноцветной печатью</t>
  </si>
  <si>
    <t xml:space="preserve">Подарочный набор на 3 изделия : Обложка для блокнота формата А6, обложка для паспорта, футляр на 4 карты) с блинтом </t>
  </si>
  <si>
    <t>Набор с полноцветной печатью (на 3 изделия : Турконверт, футляр на 3 пластиковые карты и авиабирка)</t>
  </si>
  <si>
    <t>FKR-1EP, Футляр для кредитных карт с тремя карманами, RFID блокиратор, экокожа c полноцветной печатью</t>
  </si>
  <si>
    <t>Подарочная коробка, 340х200х22мм выбор цвета: https://www.doublev.ru/catalog/perepletnye-materialy/efalin/</t>
  </si>
  <si>
    <t>Подарочный набор на 3 изделия : Обложка для блокнота формата А6, обложка для паспорта, чехол для пластиковых карт с доп. карманом) с полноцветной печатью</t>
  </si>
  <si>
    <t>Набор с блинтовым тиснением (на 3 изделия : Турконверт, футляр на 3 пластиковые карты и авиабирка)</t>
  </si>
  <si>
    <t>Подарочный набор на 3 изделия : Обложка для блокнота формата А6, обложка для паспорта, чехол для пластиковых карт с доп. карманом) с блинтом</t>
  </si>
  <si>
    <t>Подарочная коробка, 340х200х22мм, выбор цвета: https://www.doublev.ru/catalog/perepletnye-materialy/efalin/</t>
  </si>
  <si>
    <t>Подарочный набор на 3 изделия : Турконверт, футляр на 3 карты с RFID и багажная бирка с полноцветом</t>
  </si>
  <si>
    <t>Подарочная коробка 340х200мм</t>
  </si>
  <si>
    <t>Подарочные набор (ложмент из губки), ЛАЗЕРНУЮ ГРАВИРОВКУ НЕ ДЕЛАЕМ</t>
  </si>
  <si>
    <t>Подарочный набор на 3 изделия : Турконверт, футляр на 3 карты с RFID и багажная бирка с блинтом</t>
  </si>
  <si>
    <t>Ложемент из ППУ 10+10мм,цвет черный</t>
  </si>
  <si>
    <t>Подарочный набор на 3 изделия : Папка на молнии, футляр на 4 пластиковы карты и обложка на паспорт с доп. карманами) с полноцветом</t>
  </si>
  <si>
    <t>EVA 10+10мм</t>
  </si>
  <si>
    <t>Ложемент из ППУ 10+5мм,цвет черный</t>
  </si>
  <si>
    <t>Подарочная коробка 250х250мм</t>
  </si>
  <si>
    <t>Подарочный набор на 4 изделия : Блокнот-планшет А6, ручка, вертикальный карман, ретрактор) с блинтом</t>
  </si>
  <si>
    <t>Металлический брелок-ретрактор, круглый, для проксимити карты</t>
  </si>
  <si>
    <t>Калька с печатью</t>
  </si>
  <si>
    <t>Подарочная коробка 255х211мм</t>
  </si>
  <si>
    <t>Подарочный набор на 4 изделия : Блокнот-планшет А6, ручка, турконверт, авиабирка стандарт) с блинтом</t>
  </si>
  <si>
    <t>Подарочная коробка 296х303,5мм</t>
  </si>
  <si>
    <t>Подарочный набор на 4 изделия : Блокнот-планшет А6, стикерница, ручка, футляр-книжка на 4 карты) с блинтом</t>
  </si>
  <si>
    <t>Подарочная коробка 244х237мм</t>
  </si>
  <si>
    <t>Набор с полноцветной печатью на 3 изделия (органайзер для путешественника, обложка на паспорт, чехол вертикальный с RFID-блокировкой)</t>
  </si>
  <si>
    <t>Подарочная коробка 249х249х25 мм</t>
  </si>
  <si>
    <t xml:space="preserve">Набор с блинтовой печатью на 3 изделия (органайзер для путешественника, багажная бирка, футляр-книжка на 4 пластиковые карты) </t>
  </si>
  <si>
    <t>Подарочная коробка 200х350 мм</t>
  </si>
  <si>
    <t>Набор с блинтовым тиснением на 3 изделия (футляр-книжка на 4 пластиковые карты, блокнот-планшет А6, чехол вертикальный самоклеющийся)</t>
  </si>
  <si>
    <t xml:space="preserve">EVA 10+10мм </t>
  </si>
  <si>
    <t>Гравировка на ложементе</t>
  </si>
  <si>
    <r>
      <t xml:space="preserve">Подарочная коробка </t>
    </r>
    <r>
      <rPr>
        <color rgb="FFFF0000"/>
      </rPr>
      <t>249х249х25 мм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</si>
</sst>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[$ руб]"/>
    <numFmt numFmtId="165" formatCode="#,##0&quot;руб.&quot;"/>
    <numFmt numFmtId="166" formatCode="#,##0.00[$ ₽]"/>
    <numFmt numFmtId="167" formatCode="#,##0.00\ &quot;₽&quot;"/>
  </numFmts>
  <fonts count="34">
    <font>
      <sz val="10.0"/>
      <color rgb="FF000000"/>
      <name val="Arial"/>
    </font>
    <font>
      <b/>
      <i/>
      <sz val="12.0"/>
    </font>
    <font>
      <b/>
      <i/>
      <color rgb="FFFF0000"/>
    </font>
    <font>
      <i/>
    </font>
    <font/>
    <font>
      <b/>
      <i/>
    </font>
    <font>
      <b/>
      <i/>
      <sz val="10.0"/>
    </font>
    <font>
      <b/>
      <i/>
      <sz val="14.0"/>
    </font>
    <font>
      <i/>
      <sz val="10.0"/>
    </font>
    <font>
      <i/>
      <sz val="12.0"/>
    </font>
    <font>
      <color rgb="FFDD7E6B"/>
    </font>
    <font>
      <color rgb="FFA61C00"/>
    </font>
    <font>
      <i/>
      <color rgb="FFFF0000"/>
    </font>
    <font>
      <b/>
      <i/>
      <sz val="18.0"/>
    </font>
    <font>
      <b/>
    </font>
    <font>
      <sz val="11.0"/>
      <color rgb="FF000000"/>
      <name val="Inconsolata"/>
    </font>
    <font>
      <i/>
      <sz val="10.0"/>
      <color rgb="FF000000"/>
      <name val="Inconsolata"/>
    </font>
    <font>
      <b/>
      <i/>
      <sz val="10.0"/>
      <color rgb="FF000000"/>
    </font>
    <font>
      <u/>
      <sz val="10.0"/>
      <color rgb="FF000000"/>
    </font>
    <font>
      <i/>
      <sz val="9.0"/>
    </font>
    <font>
      <sz val="10.0"/>
      <color rgb="FF000000"/>
    </font>
    <font>
      <color rgb="FF000000"/>
    </font>
    <font>
      <b/>
      <i/>
      <sz val="11.0"/>
      <color rgb="FF000000"/>
      <name val="Inconsolata"/>
    </font>
    <font>
      <u/>
      <color rgb="FF0000FF"/>
    </font>
    <font>
      <i/>
      <color rgb="FF000000"/>
    </font>
    <font>
      <color rgb="FFFF0000"/>
    </font>
    <font>
      <b/>
      <i/>
      <sz val="11.0"/>
      <color rgb="FF000000"/>
      <name val="Calibri"/>
    </font>
    <font>
      <sz val="11.0"/>
      <name val="Calibri"/>
    </font>
    <font>
      <b/>
      <i/>
      <color rgb="FF000000"/>
      <name val="Arial"/>
    </font>
    <font>
      <b/>
      <i/>
      <sz val="9.0"/>
      <color rgb="FF000000"/>
      <name val="Arial"/>
    </font>
    <font>
      <sz val="11.0"/>
      <color rgb="FF000000"/>
      <name val="Calibri"/>
    </font>
    <font>
      <sz val="11.0"/>
      <color rgb="FFFF0000"/>
      <name val="Roboto"/>
    </font>
    <font>
      <sz val="11.0"/>
      <color rgb="FFFF0000"/>
      <name val="Calibri"/>
    </font>
    <font>
      <color rgb="FF000000"/>
      <name val="Arial"/>
    </font>
  </fonts>
  <fills count="20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00FFFF"/>
        <bgColor rgb="FF00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F1C232"/>
        <bgColor rgb="FFF1C232"/>
      </patternFill>
    </fill>
    <fill>
      <patternFill patternType="solid">
        <fgColor rgb="FFD5A6BD"/>
        <bgColor rgb="FFD5A6BD"/>
      </patternFill>
    </fill>
    <fill>
      <patternFill patternType="solid">
        <fgColor rgb="FF0000FF"/>
        <bgColor rgb="FF0000FF"/>
      </patternFill>
    </fill>
    <fill>
      <patternFill patternType="solid">
        <fgColor rgb="FFFFD966"/>
        <bgColor rgb="FFFFD966"/>
      </patternFill>
    </fill>
    <fill>
      <patternFill patternType="solid">
        <fgColor rgb="FF666666"/>
        <bgColor rgb="FF666666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D8D8D8"/>
        <bgColor rgb="FFD8D8D8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/>
      <bottom style="thin">
        <color rgb="FF000000"/>
      </bottom>
    </border>
  </borders>
  <cellStyleXfs count="1">
    <xf borderId="0" fillId="0" fontId="0" numFmtId="0" applyAlignment="1" applyFont="1"/>
  </cellStyleXfs>
  <cellXfs count="19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1" numFmtId="0" xfId="0" applyAlignment="1" applyFill="1" applyFont="1">
      <alignment readingOrder="0"/>
    </xf>
    <xf borderId="0" fillId="4" fontId="2" numFmtId="0" xfId="0" applyFill="1" applyFont="1"/>
    <xf borderId="0" fillId="3" fontId="3" numFmtId="0" xfId="0" applyAlignment="1" applyFont="1">
      <alignment shrinkToFit="0" wrapText="1"/>
    </xf>
    <xf borderId="0" fillId="0" fontId="4" numFmtId="164" xfId="0" applyFont="1" applyNumberFormat="1"/>
    <xf borderId="1" fillId="5" fontId="5" numFmtId="0" xfId="0" applyBorder="1" applyFill="1" applyFont="1"/>
    <xf borderId="0" fillId="6" fontId="4" numFmtId="164" xfId="0" applyFill="1" applyFont="1" applyNumberFormat="1"/>
    <xf borderId="1" fillId="7" fontId="3" numFmtId="0" xfId="0" applyBorder="1" applyFill="1" applyFont="1"/>
    <xf borderId="0" fillId="8" fontId="5" numFmtId="0" xfId="0" applyAlignment="1" applyFill="1" applyFont="1">
      <alignment horizontal="center"/>
    </xf>
    <xf borderId="1" fillId="0" fontId="3" numFmtId="0" xfId="0" applyBorder="1" applyFont="1"/>
    <xf borderId="0" fillId="3" fontId="3" numFmtId="164" xfId="0" applyAlignment="1" applyFont="1" applyNumberFormat="1">
      <alignment horizontal="right"/>
    </xf>
    <xf borderId="2" fillId="9" fontId="4" numFmtId="0" xfId="0" applyBorder="1" applyFill="1" applyFont="1"/>
    <xf borderId="1" fillId="10" fontId="5" numFmtId="0" xfId="0" applyBorder="1" applyFill="1" applyFont="1"/>
    <xf borderId="3" fillId="0" fontId="4" numFmtId="0" xfId="0" applyBorder="1" applyFont="1"/>
    <xf borderId="0" fillId="10" fontId="5" numFmtId="0" xfId="0" applyFont="1"/>
    <xf borderId="1" fillId="11" fontId="5" numFmtId="164" xfId="0" applyBorder="1" applyFill="1" applyFont="1" applyNumberFormat="1"/>
    <xf borderId="0" fillId="10" fontId="5" numFmtId="164" xfId="0" applyAlignment="1" applyFont="1" applyNumberFormat="1">
      <alignment horizontal="right"/>
    </xf>
    <xf borderId="1" fillId="0" fontId="3" numFmtId="165" xfId="0" applyBorder="1" applyFont="1" applyNumberFormat="1"/>
    <xf borderId="1" fillId="0" fontId="4" numFmtId="0" xfId="0" applyBorder="1" applyFont="1"/>
    <xf borderId="1" fillId="0" fontId="3" numFmtId="0" xfId="0" applyAlignment="1" applyBorder="1" applyFont="1">
      <alignment shrinkToFit="0" wrapText="1"/>
    </xf>
    <xf borderId="1" fillId="0" fontId="4" numFmtId="164" xfId="0" applyBorder="1" applyFont="1" applyNumberFormat="1"/>
    <xf borderId="1" fillId="0" fontId="3" numFmtId="164" xfId="0" applyAlignment="1" applyBorder="1" applyFont="1" applyNumberFormat="1">
      <alignment horizontal="right"/>
    </xf>
    <xf borderId="0" fillId="10" fontId="5" numFmtId="0" xfId="0" applyAlignment="1" applyFont="1">
      <alignment shrinkToFit="0" wrapText="1"/>
    </xf>
    <xf borderId="4" fillId="0" fontId="3" numFmtId="0" xfId="0" applyBorder="1" applyFont="1"/>
    <xf borderId="4" fillId="0" fontId="3" numFmtId="0" xfId="0" applyAlignment="1" applyBorder="1" applyFont="1">
      <alignment shrinkToFit="0" wrapText="1"/>
    </xf>
    <xf borderId="4" fillId="0" fontId="3" numFmtId="164" xfId="0" applyAlignment="1" applyBorder="1" applyFont="1" applyNumberFormat="1">
      <alignment horizontal="right"/>
    </xf>
    <xf borderId="1" fillId="5" fontId="6" numFmtId="164" xfId="0" applyBorder="1" applyFont="1" applyNumberFormat="1"/>
    <xf borderId="0" fillId="0" fontId="3" numFmtId="0" xfId="0" applyFont="1"/>
    <xf borderId="1" fillId="5" fontId="6" numFmtId="164" xfId="0" applyAlignment="1" applyBorder="1" applyFont="1" applyNumberFormat="1">
      <alignment shrinkToFit="0" wrapText="1"/>
    </xf>
    <xf borderId="1" fillId="5" fontId="6" numFmtId="164" xfId="0" applyAlignment="1" applyBorder="1" applyFont="1" applyNumberFormat="1">
      <alignment horizontal="right"/>
    </xf>
    <xf borderId="0" fillId="2" fontId="7" numFmtId="0" xfId="0" applyFont="1"/>
    <xf borderId="1" fillId="6" fontId="8" numFmtId="164" xfId="0" applyBorder="1" applyFont="1" applyNumberFormat="1"/>
    <xf borderId="1" fillId="6" fontId="8" numFmtId="164" xfId="0" applyAlignment="1" applyBorder="1" applyFont="1" applyNumberFormat="1">
      <alignment shrinkToFit="0" wrapText="1"/>
    </xf>
    <xf borderId="1" fillId="6" fontId="8" numFmtId="164" xfId="0" applyAlignment="1" applyBorder="1" applyFont="1" applyNumberFormat="1">
      <alignment horizontal="right"/>
    </xf>
    <xf borderId="1" fillId="12" fontId="5" numFmtId="0" xfId="0" applyBorder="1" applyFill="1" applyFont="1"/>
    <xf borderId="1" fillId="12" fontId="5" numFmtId="0" xfId="0" applyAlignment="1" applyBorder="1" applyFont="1">
      <alignment shrinkToFit="0" wrapText="1"/>
    </xf>
    <xf borderId="1" fillId="12" fontId="5" numFmtId="164" xfId="0" applyAlignment="1" applyBorder="1" applyFont="1" applyNumberFormat="1">
      <alignment horizontal="right"/>
    </xf>
    <xf borderId="0" fillId="6" fontId="3" numFmtId="164" xfId="0" applyAlignment="1" applyFont="1" applyNumberFormat="1">
      <alignment horizontal="right"/>
    </xf>
    <xf borderId="0" fillId="0" fontId="3" numFmtId="0" xfId="0" applyAlignment="1" applyFont="1">
      <alignment shrinkToFit="0" wrapText="1"/>
    </xf>
    <xf borderId="0" fillId="0" fontId="3" numFmtId="164" xfId="0" applyAlignment="1" applyFont="1" applyNumberFormat="1">
      <alignment horizontal="right"/>
    </xf>
    <xf borderId="0" fillId="3" fontId="9" numFmtId="0" xfId="0" applyFont="1"/>
    <xf borderId="1" fillId="5" fontId="5" numFmtId="0" xfId="0" applyAlignment="1" applyBorder="1" applyFont="1">
      <alignment shrinkToFit="0" wrapText="1"/>
    </xf>
    <xf borderId="1" fillId="5" fontId="5" numFmtId="164" xfId="0" applyAlignment="1" applyBorder="1" applyFont="1" applyNumberFormat="1">
      <alignment horizontal="right"/>
    </xf>
    <xf borderId="0" fillId="9" fontId="4" numFmtId="0" xfId="0" applyFont="1"/>
    <xf borderId="1" fillId="6" fontId="3" numFmtId="0" xfId="0" applyBorder="1" applyFont="1"/>
    <xf borderId="0" fillId="11" fontId="5" numFmtId="164" xfId="0" applyFont="1" applyNumberFormat="1"/>
    <xf borderId="1" fillId="6" fontId="3" numFmtId="0" xfId="0" applyAlignment="1" applyBorder="1" applyFont="1">
      <alignment shrinkToFit="0" wrapText="1"/>
    </xf>
    <xf borderId="1" fillId="0" fontId="10" numFmtId="0" xfId="0" applyBorder="1" applyFont="1"/>
    <xf borderId="1" fillId="6" fontId="3" numFmtId="164" xfId="0" applyAlignment="1" applyBorder="1" applyFont="1" applyNumberFormat="1">
      <alignment horizontal="right"/>
    </xf>
    <xf borderId="1" fillId="0" fontId="10" numFmtId="164" xfId="0" applyBorder="1" applyFont="1" applyNumberFormat="1"/>
    <xf borderId="0" fillId="13" fontId="5" numFmtId="0" xfId="0" applyAlignment="1" applyFill="1" applyFont="1">
      <alignment horizontal="center"/>
    </xf>
    <xf borderId="0" fillId="10" fontId="3" numFmtId="0" xfId="0" applyFont="1"/>
    <xf borderId="1" fillId="5" fontId="3" numFmtId="0" xfId="0" applyBorder="1" applyFont="1"/>
    <xf borderId="1" fillId="0" fontId="2" numFmtId="0" xfId="0" applyBorder="1" applyFont="1"/>
    <xf borderId="1" fillId="0" fontId="2" numFmtId="164" xfId="0" applyBorder="1" applyFont="1" applyNumberFormat="1"/>
    <xf borderId="1" fillId="6" fontId="5" numFmtId="0" xfId="0" applyBorder="1" applyFont="1"/>
    <xf borderId="1" fillId="6" fontId="2" numFmtId="0" xfId="0" applyAlignment="1" applyBorder="1" applyFont="1">
      <alignment shrinkToFit="0" wrapText="1"/>
    </xf>
    <xf borderId="1" fillId="6" fontId="2" numFmtId="164" xfId="0" applyAlignment="1" applyBorder="1" applyFont="1" applyNumberFormat="1">
      <alignment horizontal="right"/>
    </xf>
    <xf borderId="2" fillId="9" fontId="5" numFmtId="0" xfId="0" applyBorder="1" applyFont="1"/>
    <xf borderId="1" fillId="10" fontId="5" numFmtId="0" xfId="0" applyAlignment="1" applyBorder="1" applyFont="1">
      <alignment shrinkToFit="0" wrapText="1"/>
    </xf>
    <xf borderId="1" fillId="10" fontId="5" numFmtId="164" xfId="0" applyAlignment="1" applyBorder="1" applyFont="1" applyNumberFormat="1">
      <alignment horizontal="right"/>
    </xf>
    <xf borderId="0" fillId="6" fontId="3" numFmtId="164" xfId="0" applyFont="1" applyNumberFormat="1"/>
    <xf borderId="1" fillId="6" fontId="3" numFmtId="164" xfId="0" applyAlignment="1" applyBorder="1" applyFont="1" applyNumberFormat="1">
      <alignment shrinkToFit="0" wrapText="1"/>
    </xf>
    <xf borderId="1" fillId="0" fontId="11" numFmtId="0" xfId="0" applyBorder="1" applyFont="1"/>
    <xf borderId="1" fillId="4" fontId="12" numFmtId="0" xfId="0" applyBorder="1" applyFont="1"/>
    <xf borderId="1" fillId="0" fontId="11" numFmtId="164" xfId="0" applyBorder="1" applyFont="1" applyNumberFormat="1"/>
    <xf borderId="0" fillId="0" fontId="5" numFmtId="0" xfId="0" applyFont="1"/>
    <xf borderId="0" fillId="6" fontId="3" numFmtId="0" xfId="0" applyFont="1"/>
    <xf borderId="0" fillId="6" fontId="3" numFmtId="0" xfId="0" applyAlignment="1" applyFont="1">
      <alignment shrinkToFit="0" wrapText="1"/>
    </xf>
    <xf borderId="0" fillId="4" fontId="13" numFmtId="0" xfId="0" applyAlignment="1" applyFont="1">
      <alignment horizontal="center" vertical="center"/>
    </xf>
    <xf borderId="1" fillId="11" fontId="14" numFmtId="164" xfId="0" applyBorder="1" applyFont="1" applyNumberFormat="1"/>
    <xf borderId="0" fillId="14" fontId="5" numFmtId="0" xfId="0" applyAlignment="1" applyFill="1" applyFont="1">
      <alignment horizontal="center"/>
    </xf>
    <xf borderId="1" fillId="5" fontId="6" numFmtId="0" xfId="0" applyBorder="1" applyFont="1"/>
    <xf borderId="1" fillId="5" fontId="6" numFmtId="0" xfId="0" applyAlignment="1" applyBorder="1" applyFont="1">
      <alignment shrinkToFit="0" wrapText="1"/>
    </xf>
    <xf borderId="1" fillId="6" fontId="8" numFmtId="0" xfId="0" applyBorder="1" applyFont="1"/>
    <xf borderId="1" fillId="6" fontId="8" numFmtId="0" xfId="0" applyAlignment="1" applyBorder="1" applyFont="1">
      <alignment shrinkToFit="0" wrapText="1"/>
    </xf>
    <xf borderId="1" fillId="0" fontId="8" numFmtId="164" xfId="0" applyAlignment="1" applyBorder="1" applyFont="1" applyNumberFormat="1">
      <alignment horizontal="right"/>
    </xf>
    <xf borderId="1" fillId="0" fontId="8" numFmtId="0" xfId="0" applyBorder="1" applyFont="1"/>
    <xf borderId="1" fillId="0" fontId="8" numFmtId="0" xfId="0" applyAlignment="1" applyBorder="1" applyFont="1">
      <alignment shrinkToFit="0" wrapText="1"/>
    </xf>
    <xf borderId="0" fillId="0" fontId="15" numFmtId="0" xfId="0" applyFont="1"/>
    <xf borderId="1" fillId="6" fontId="8" numFmtId="0" xfId="0" applyAlignment="1" applyBorder="1" applyFont="1">
      <alignment readingOrder="0"/>
    </xf>
    <xf borderId="1" fillId="6" fontId="4" numFmtId="164" xfId="0" applyBorder="1" applyFont="1" applyNumberFormat="1"/>
    <xf borderId="1" fillId="6" fontId="16" numFmtId="0" xfId="0" applyBorder="1" applyFont="1"/>
    <xf borderId="0" fillId="6" fontId="8" numFmtId="164" xfId="0" applyAlignment="1" applyFont="1" applyNumberFormat="1">
      <alignment horizontal="right"/>
    </xf>
    <xf borderId="0" fillId="5" fontId="6" numFmtId="0" xfId="0" applyFont="1"/>
    <xf borderId="0" fillId="5" fontId="6" numFmtId="0" xfId="0" applyAlignment="1" applyFont="1">
      <alignment shrinkToFit="0" wrapText="1"/>
    </xf>
    <xf borderId="0" fillId="5" fontId="6" numFmtId="164" xfId="0" applyAlignment="1" applyFont="1" applyNumberFormat="1">
      <alignment horizontal="right"/>
    </xf>
    <xf borderId="1" fillId="6" fontId="15" numFmtId="0" xfId="0" applyBorder="1" applyFont="1"/>
    <xf borderId="1" fillId="15" fontId="3" numFmtId="0" xfId="0" applyBorder="1" applyFill="1" applyFont="1"/>
    <xf borderId="1" fillId="15" fontId="3" numFmtId="0" xfId="0" applyAlignment="1" applyBorder="1" applyFont="1">
      <alignment shrinkToFit="0" wrapText="1"/>
    </xf>
    <xf borderId="1" fillId="15" fontId="3" numFmtId="164" xfId="0" applyAlignment="1" applyBorder="1" applyFont="1" applyNumberFormat="1">
      <alignment horizontal="right"/>
    </xf>
    <xf borderId="0" fillId="3" fontId="3" numFmtId="0" xfId="0" applyFont="1"/>
    <xf borderId="0" fillId="3" fontId="1" numFmtId="0" xfId="0" applyAlignment="1" applyFont="1">
      <alignment horizontal="left" shrinkToFit="0" wrapText="1"/>
    </xf>
    <xf borderId="0" fillId="16" fontId="3" numFmtId="0" xfId="0" applyFill="1" applyFont="1"/>
    <xf borderId="0" fillId="16" fontId="3" numFmtId="0" xfId="0" applyAlignment="1" applyFont="1">
      <alignment shrinkToFit="0" wrapText="1"/>
    </xf>
    <xf borderId="0" fillId="16" fontId="3" numFmtId="164" xfId="0" applyAlignment="1" applyFont="1" applyNumberFormat="1">
      <alignment horizontal="right"/>
    </xf>
    <xf borderId="0" fillId="5" fontId="5" numFmtId="0" xfId="0" applyFont="1"/>
    <xf borderId="0" fillId="5" fontId="5" numFmtId="0" xfId="0" applyAlignment="1" applyFont="1">
      <alignment shrinkToFit="0" wrapText="1"/>
    </xf>
    <xf borderId="0" fillId="5" fontId="5" numFmtId="164" xfId="0" applyAlignment="1" applyFont="1" applyNumberFormat="1">
      <alignment horizontal="right"/>
    </xf>
    <xf borderId="0" fillId="3" fontId="3" numFmtId="164" xfId="0" applyFont="1" applyNumberFormat="1"/>
    <xf borderId="1" fillId="5" fontId="5" numFmtId="164" xfId="0" applyBorder="1" applyFont="1" applyNumberFormat="1"/>
    <xf borderId="1" fillId="5" fontId="5" numFmtId="164" xfId="0" applyAlignment="1" applyBorder="1" applyFont="1" applyNumberFormat="1">
      <alignment readingOrder="0"/>
    </xf>
    <xf borderId="1" fillId="0" fontId="3" numFmtId="0" xfId="0" applyAlignment="1" applyBorder="1" applyFont="1">
      <alignment horizontal="left" shrinkToFit="0" vertical="top" wrapText="1"/>
    </xf>
    <xf borderId="1" fillId="0" fontId="3" numFmtId="164" xfId="0" applyBorder="1" applyFont="1" applyNumberFormat="1"/>
    <xf borderId="1" fillId="0" fontId="3" numFmtId="164" xfId="0" applyAlignment="1" applyBorder="1" applyFont="1" applyNumberFormat="1">
      <alignment readingOrder="0"/>
    </xf>
    <xf borderId="1" fillId="6" fontId="3" numFmtId="164" xfId="0" applyBorder="1" applyFont="1" applyNumberFormat="1"/>
    <xf borderId="1" fillId="6" fontId="3" numFmtId="164" xfId="0" applyAlignment="1" applyBorder="1" applyFont="1" applyNumberFormat="1">
      <alignment readingOrder="0"/>
    </xf>
    <xf borderId="0" fillId="10" fontId="5" numFmtId="0" xfId="0" applyAlignment="1" applyFont="1">
      <alignment readingOrder="0"/>
    </xf>
    <xf borderId="0" fillId="6" fontId="17" numFmtId="0" xfId="0" applyAlignment="1" applyFont="1">
      <alignment readingOrder="0" shrinkToFit="0" wrapText="1"/>
    </xf>
    <xf borderId="0" fillId="6" fontId="14" numFmtId="0" xfId="0" applyAlignment="1" applyFont="1">
      <alignment horizontal="center" readingOrder="0"/>
    </xf>
    <xf borderId="0" fillId="6" fontId="4" numFmtId="0" xfId="0" applyFont="1"/>
    <xf borderId="0" fillId="6" fontId="18" numFmtId="0" xfId="0" applyAlignment="1" applyFont="1">
      <alignment horizontal="center" readingOrder="0" shrinkToFit="0" wrapText="1"/>
    </xf>
    <xf borderId="1" fillId="5" fontId="17" numFmtId="0" xfId="0" applyAlignment="1" applyBorder="1" applyFont="1">
      <alignment readingOrder="0" shrinkToFit="0" wrapText="1"/>
    </xf>
    <xf borderId="1" fillId="5" fontId="14" numFmtId="0" xfId="0" applyAlignment="1" applyBorder="1" applyFont="1">
      <alignment readingOrder="0"/>
    </xf>
    <xf borderId="1" fillId="17" fontId="3" numFmtId="0" xfId="0" applyAlignment="1" applyBorder="1" applyFill="1" applyFont="1">
      <alignment readingOrder="0"/>
    </xf>
    <xf borderId="1" fillId="17" fontId="3" numFmtId="0" xfId="0" applyBorder="1" applyFont="1"/>
    <xf borderId="1" fillId="6" fontId="3" numFmtId="164" xfId="0" applyBorder="1" applyFont="1" applyNumberFormat="1"/>
    <xf borderId="1" fillId="6" fontId="4" numFmtId="164" xfId="0" applyAlignment="1" applyBorder="1" applyFont="1" applyNumberFormat="1">
      <alignment readingOrder="0"/>
    </xf>
    <xf borderId="1" fillId="17" fontId="19" numFmtId="0" xfId="0" applyAlignment="1" applyBorder="1" applyFont="1">
      <alignment readingOrder="0"/>
    </xf>
    <xf borderId="1" fillId="17" fontId="19" numFmtId="0" xfId="0" applyBorder="1" applyFont="1"/>
    <xf borderId="1" fillId="6" fontId="4" numFmtId="164" xfId="0" applyAlignment="1" applyBorder="1" applyFont="1" applyNumberFormat="1">
      <alignment readingOrder="0"/>
    </xf>
    <xf borderId="1" fillId="6" fontId="4" numFmtId="164" xfId="0" applyBorder="1" applyFont="1" applyNumberFormat="1"/>
    <xf borderId="0" fillId="6" fontId="4" numFmtId="0" xfId="0" applyAlignment="1" applyFont="1">
      <alignment horizontal="right" readingOrder="0"/>
    </xf>
    <xf borderId="0" fillId="6" fontId="4" numFmtId="164" xfId="0" applyFont="1" applyNumberFormat="1"/>
    <xf borderId="0" fillId="5" fontId="17" numFmtId="0" xfId="0" applyAlignment="1" applyFont="1">
      <alignment readingOrder="0" shrinkToFit="0" wrapText="1"/>
    </xf>
    <xf borderId="1" fillId="17" fontId="3" numFmtId="0" xfId="0" applyAlignment="1" applyBorder="1" applyFont="1">
      <alignment shrinkToFit="0" wrapText="1"/>
    </xf>
    <xf borderId="1" fillId="6" fontId="20" numFmtId="164" xfId="0" applyAlignment="1" applyBorder="1" applyFont="1" applyNumberFormat="1">
      <alignment readingOrder="0"/>
    </xf>
    <xf borderId="1" fillId="17" fontId="3" numFmtId="0" xfId="0" applyAlignment="1" applyBorder="1" applyFont="1">
      <alignment readingOrder="0" shrinkToFit="0" wrapText="1"/>
    </xf>
    <xf borderId="1" fillId="6" fontId="21" numFmtId="164" xfId="0" applyAlignment="1" applyBorder="1" applyFont="1" applyNumberFormat="1">
      <alignment readingOrder="0"/>
    </xf>
    <xf borderId="0" fillId="6" fontId="4" numFmtId="0" xfId="0" applyAlignment="1" applyFont="1">
      <alignment horizontal="right" readingOrder="0" shrinkToFit="0" wrapText="1"/>
    </xf>
    <xf borderId="0" fillId="0" fontId="4" numFmtId="0" xfId="0" applyAlignment="1" applyFont="1">
      <alignment shrinkToFit="0" wrapText="1"/>
    </xf>
    <xf borderId="1" fillId="10" fontId="15" numFmtId="0" xfId="0" applyBorder="1" applyFont="1"/>
    <xf borderId="1" fillId="10" fontId="22" numFmtId="0" xfId="0" applyBorder="1" applyFont="1"/>
    <xf borderId="1" fillId="5" fontId="3" numFmtId="0" xfId="0" applyAlignment="1" applyBorder="1" applyFont="1">
      <alignment shrinkToFit="0" wrapText="1"/>
    </xf>
    <xf borderId="1" fillId="4" fontId="4" numFmtId="0" xfId="0" applyAlignment="1" applyBorder="1" applyFont="1">
      <alignment shrinkToFit="0" wrapText="1"/>
    </xf>
    <xf borderId="0" fillId="10" fontId="5" numFmtId="0" xfId="0" applyAlignment="1" applyFont="1">
      <alignment readingOrder="0" shrinkToFit="0" wrapText="1"/>
    </xf>
    <xf borderId="1" fillId="4" fontId="4" numFmtId="0" xfId="0" applyBorder="1" applyFont="1"/>
    <xf borderId="1" fillId="10" fontId="5" numFmtId="166" xfId="0" applyAlignment="1" applyBorder="1" applyFont="1" applyNumberFormat="1">
      <alignment readingOrder="0" shrinkToFit="0" wrapText="1"/>
    </xf>
    <xf borderId="0" fillId="6" fontId="4" numFmtId="0" xfId="0" applyAlignment="1" applyFont="1">
      <alignment readingOrder="0"/>
    </xf>
    <xf borderId="0" fillId="18" fontId="4" numFmtId="0" xfId="0" applyFill="1" applyFont="1"/>
    <xf borderId="1" fillId="0" fontId="3" numFmtId="0" xfId="0" applyAlignment="1" applyBorder="1" applyFont="1">
      <alignment readingOrder="0"/>
    </xf>
    <xf borderId="0" fillId="18" fontId="4" numFmtId="0" xfId="0" applyAlignment="1" applyFont="1">
      <alignment readingOrder="0"/>
    </xf>
    <xf borderId="0" fillId="6" fontId="4" numFmtId="0" xfId="0" applyAlignment="1" applyFont="1">
      <alignment horizontal="center" readingOrder="0"/>
    </xf>
    <xf borderId="1" fillId="0" fontId="3" numFmtId="166" xfId="0" applyAlignment="1" applyBorder="1" applyFont="1" applyNumberFormat="1">
      <alignment readingOrder="0"/>
    </xf>
    <xf borderId="0" fillId="6" fontId="23" numFmtId="0" xfId="0" applyAlignment="1" applyFont="1">
      <alignment horizontal="center" readingOrder="0"/>
    </xf>
    <xf borderId="0" fillId="6" fontId="14" numFmtId="0" xfId="0" applyAlignment="1" applyFont="1">
      <alignment readingOrder="0"/>
    </xf>
    <xf borderId="1" fillId="6" fontId="24" numFmtId="164" xfId="0" applyBorder="1" applyFont="1" applyNumberFormat="1"/>
    <xf borderId="1" fillId="15" fontId="3" numFmtId="0" xfId="0" applyAlignment="1" applyBorder="1" applyFont="1">
      <alignment vertical="center"/>
    </xf>
    <xf borderId="1" fillId="15" fontId="3" numFmtId="0" xfId="0" applyAlignment="1" applyBorder="1" applyFont="1">
      <alignment shrinkToFit="0" vertical="center" wrapText="1"/>
    </xf>
    <xf borderId="1" fillId="15" fontId="1" numFmtId="0" xfId="0" applyAlignment="1" applyBorder="1" applyFont="1">
      <alignment readingOrder="0"/>
    </xf>
    <xf borderId="1" fillId="15" fontId="3" numFmtId="166" xfId="0" applyAlignment="1" applyBorder="1" applyFont="1" applyNumberFormat="1">
      <alignment readingOrder="0"/>
    </xf>
    <xf borderId="0" fillId="0" fontId="3" numFmtId="166" xfId="0" applyAlignment="1" applyFont="1" applyNumberFormat="1">
      <alignment readingOrder="0"/>
    </xf>
    <xf borderId="0" fillId="6" fontId="4" numFmtId="164" xfId="0" applyAlignment="1" applyFont="1" applyNumberFormat="1">
      <alignment readingOrder="0"/>
    </xf>
    <xf borderId="0" fillId="6" fontId="4" numFmtId="0" xfId="0" applyAlignment="1" applyFont="1">
      <alignment horizontal="center"/>
    </xf>
    <xf borderId="1" fillId="6" fontId="3" numFmtId="0" xfId="0" applyAlignment="1" applyBorder="1" applyFont="1">
      <alignment readingOrder="0"/>
    </xf>
    <xf borderId="1" fillId="12" fontId="3" numFmtId="0" xfId="0" applyBorder="1" applyFont="1"/>
    <xf borderId="0" fillId="0" fontId="3" numFmtId="166" xfId="0" applyFont="1" applyNumberFormat="1"/>
    <xf borderId="0" fillId="6" fontId="25" numFmtId="0" xfId="0" applyFont="1"/>
    <xf borderId="0" fillId="6" fontId="4" numFmtId="0" xfId="0" applyAlignment="1" applyFont="1">
      <alignment shrinkToFit="0" wrapText="1"/>
    </xf>
    <xf borderId="0" fillId="6" fontId="5" numFmtId="0" xfId="0" applyFont="1"/>
    <xf borderId="0" fillId="6" fontId="5" numFmtId="166" xfId="0" applyFont="1" applyNumberFormat="1"/>
    <xf borderId="5" fillId="0" fontId="26" numFmtId="0" xfId="0" applyAlignment="1" applyBorder="1" applyFont="1">
      <alignment vertical="bottom"/>
    </xf>
    <xf borderId="0" fillId="6" fontId="4" numFmtId="0" xfId="0" applyAlignment="1" applyFont="1">
      <alignment readingOrder="0" shrinkToFit="0" wrapText="1"/>
    </xf>
    <xf borderId="5" fillId="0" fontId="27" numFmtId="167" xfId="0" applyAlignment="1" applyBorder="1" applyFont="1" applyNumberFormat="1">
      <alignment vertical="bottom"/>
    </xf>
    <xf borderId="0" fillId="6" fontId="3" numFmtId="166" xfId="0" applyFont="1" applyNumberFormat="1"/>
    <xf borderId="0" fillId="0" fontId="27" numFmtId="0" xfId="0" applyAlignment="1" applyFont="1">
      <alignment vertical="bottom"/>
    </xf>
    <xf borderId="0" fillId="0" fontId="4" numFmtId="166" xfId="0" applyFont="1" applyNumberFormat="1"/>
    <xf borderId="6" fillId="19" fontId="28" numFmtId="0" xfId="0" applyAlignment="1" applyBorder="1" applyFill="1" applyFont="1">
      <alignment vertical="bottom"/>
    </xf>
    <xf borderId="7" fillId="19" fontId="29" numFmtId="167" xfId="0" applyAlignment="1" applyBorder="1" applyFont="1" applyNumberFormat="1">
      <alignment horizontal="center" vertical="bottom"/>
    </xf>
    <xf borderId="6" fillId="0" fontId="30" numFmtId="0" xfId="0" applyAlignment="1" applyBorder="1" applyFont="1">
      <alignment vertical="bottom"/>
    </xf>
    <xf borderId="7" fillId="0" fontId="30" numFmtId="167" xfId="0" applyAlignment="1" applyBorder="1" applyFont="1" applyNumberFormat="1">
      <alignment horizontal="right" vertical="bottom"/>
    </xf>
    <xf borderId="8" fillId="0" fontId="30" numFmtId="0" xfId="0" applyAlignment="1" applyBorder="1" applyFont="1">
      <alignment horizontal="right" vertical="bottom"/>
    </xf>
    <xf borderId="0" fillId="0" fontId="30" numFmtId="167" xfId="0" applyAlignment="1" applyFont="1" applyNumberFormat="1">
      <alignment horizontal="right" vertical="bottom"/>
    </xf>
    <xf borderId="9" fillId="0" fontId="26" numFmtId="0" xfId="0" applyAlignment="1" applyBorder="1" applyFont="1">
      <alignment shrinkToFit="0" vertical="bottom" wrapText="0"/>
    </xf>
    <xf borderId="9" fillId="0" fontId="27" numFmtId="167" xfId="0" applyAlignment="1" applyBorder="1" applyFont="1" applyNumberFormat="1">
      <alignment vertical="bottom"/>
    </xf>
    <xf borderId="0" fillId="6" fontId="31" numFmtId="0" xfId="0" applyAlignment="1" applyFont="1">
      <alignment readingOrder="0" vertical="bottom"/>
    </xf>
    <xf borderId="0" fillId="0" fontId="32" numFmtId="0" xfId="0" applyAlignment="1" applyFont="1">
      <alignment readingOrder="0" vertical="bottom"/>
    </xf>
    <xf borderId="5" fillId="6" fontId="26" numFmtId="0" xfId="0" applyAlignment="1" applyBorder="1" applyFont="1">
      <alignment vertical="bottom"/>
    </xf>
    <xf borderId="5" fillId="0" fontId="27" numFmtId="0" xfId="0" applyAlignment="1" applyBorder="1" applyFont="1">
      <alignment vertical="bottom"/>
    </xf>
    <xf borderId="0" fillId="5" fontId="14" numFmtId="0" xfId="0" applyAlignment="1" applyFont="1">
      <alignment readingOrder="0"/>
    </xf>
    <xf borderId="0" fillId="0" fontId="27" numFmtId="167" xfId="0" applyAlignment="1" applyFont="1" applyNumberFormat="1">
      <alignment horizontal="right" vertical="bottom"/>
    </xf>
    <xf borderId="7" fillId="0" fontId="30" numFmtId="167" xfId="0" applyAlignment="1" applyBorder="1" applyFont="1" applyNumberFormat="1">
      <alignment vertical="bottom"/>
    </xf>
    <xf borderId="0" fillId="16" fontId="27" numFmtId="0" xfId="0" applyAlignment="1" applyFont="1">
      <alignment vertical="bottom"/>
    </xf>
    <xf borderId="0" fillId="0" fontId="27" numFmtId="0" xfId="0" applyAlignment="1" applyFont="1">
      <alignment vertical="bottom"/>
    </xf>
    <xf borderId="1" fillId="0" fontId="33" numFmtId="164" xfId="0" applyAlignment="1" applyBorder="1" applyFont="1" applyNumberFormat="1">
      <alignment horizontal="right" vertical="bottom"/>
    </xf>
    <xf borderId="3" fillId="0" fontId="33" numFmtId="164" xfId="0" applyAlignment="1" applyBorder="1" applyFont="1" applyNumberFormat="1">
      <alignment horizontal="right" vertical="bottom"/>
    </xf>
    <xf borderId="1" fillId="6" fontId="25" numFmtId="164" xfId="0" applyBorder="1" applyFont="1" applyNumberFormat="1"/>
    <xf borderId="1" fillId="6" fontId="25" numFmtId="164" xfId="0" applyAlignment="1" applyBorder="1" applyFont="1" applyNumberFormat="1">
      <alignment readingOrder="0"/>
    </xf>
    <xf borderId="1" fillId="6" fontId="4" numFmtId="164" xfId="0" applyAlignment="1" applyBorder="1" applyFont="1" applyNumberFormat="1">
      <alignment horizontal="right"/>
    </xf>
    <xf borderId="1" fillId="0" fontId="4" numFmtId="164" xfId="0" applyAlignment="1" applyBorder="1" applyFont="1" applyNumberFormat="1">
      <alignment horizontal="right"/>
    </xf>
    <xf borderId="1" fillId="6" fontId="25" numFmtId="164" xfId="0" applyBorder="1" applyFont="1" applyNumberFormat="1"/>
    <xf borderId="1" fillId="6" fontId="25" numFmtId="164" xfId="0" applyAlignment="1" applyBorder="1" applyFont="1" applyNumberFormat="1">
      <alignment horizontal="right"/>
    </xf>
    <xf borderId="1" fillId="0" fontId="25" numFmtId="164" xfId="0" applyAlignment="1" applyBorder="1" applyFont="1" applyNumberFormat="1">
      <alignment horizontal="right" readingOrder="0"/>
    </xf>
    <xf borderId="1" fillId="6" fontId="25" numFmtId="164" xfId="0" applyAlignment="1" applyBorder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Relationship Id="rId3" Type="http://schemas.openxmlformats.org/officeDocument/2006/relationships/image" Target="../media/image3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0</xdr:colOff>
      <xdr:row>32</xdr:row>
      <xdr:rowOff>0</xdr:rowOff>
    </xdr:from>
    <xdr:ext cx="238125" cy="2000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45</xdr:row>
      <xdr:rowOff>0</xdr:rowOff>
    </xdr:from>
    <xdr:ext cx="238125" cy="20002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66</xdr:row>
      <xdr:rowOff>0</xdr:rowOff>
    </xdr:from>
    <xdr:ext cx="180975" cy="200025"/>
    <xdr:pic>
      <xdr:nvPicPr>
        <xdr:cNvPr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77</xdr:row>
      <xdr:rowOff>0</xdr:rowOff>
    </xdr:from>
    <xdr:ext cx="180975" cy="200025"/>
    <xdr:pic>
      <xdr:nvPicPr>
        <xdr:cNvPr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BmN2IRNzhs0bL0WKg7J-BG6vSLwMjQwf" TargetMode="External"/><Relationship Id="rId2" Type="http://schemas.openxmlformats.org/officeDocument/2006/relationships/hyperlink" Target="https://drive.google.com/open?id=1szic7hULgTM4BhZoObOJaXJUKXC_JMZ1" TargetMode="External"/><Relationship Id="rId3" Type="http://schemas.openxmlformats.org/officeDocument/2006/relationships/hyperlink" Target="https://drive.google.com/open?id=1YnF8fvxztmAk4Se5Lc9_0Ws93RqVB7Cx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18.57"/>
    <col customWidth="1" min="2" max="2" width="110.14"/>
  </cols>
  <sheetData>
    <row r="1">
      <c r="A1" s="2" t="str">
        <f>IFERROR(__xludf.DUMMYFUNCTION("IMPORTRANGE(""1HkzfTg_x2lNlvG_oAmvAnugODRXnepM3bnsrF1TbIKU"", ""Папки и изделия экокожа!A1:g77"")")," ")</f>
        <v> </v>
      </c>
      <c r="B1" s="4" t="str">
        <f>IFERROR(__xludf.DUMMYFUNCTION("""COMPUTED_VALUE"""),"")</f>
        <v/>
      </c>
      <c r="C1" s="11" t="str">
        <f>IFERROR(__xludf.DUMMYFUNCTION("""COMPUTED_VALUE"""),"")</f>
        <v/>
      </c>
      <c r="D1" s="11" t="str">
        <f>IFERROR(__xludf.DUMMYFUNCTION("""COMPUTED_VALUE"""),"")</f>
        <v/>
      </c>
      <c r="E1" s="11" t="str">
        <f>IFERROR(__xludf.DUMMYFUNCTION("""COMPUTED_VALUE"""),"")</f>
        <v/>
      </c>
      <c r="F1" s="11" t="str">
        <f>IFERROR(__xludf.DUMMYFUNCTION("""COMPUTED_VALUE"""),"")</f>
        <v/>
      </c>
      <c r="G1" s="11" t="str">
        <f>IFERROR(__xludf.DUMMYFUNCTION("""COMPUTED_VALUE"""),"")</f>
        <v/>
      </c>
    </row>
    <row r="2">
      <c r="A2" s="15" t="str">
        <f>IFERROR(__xludf.DUMMYFUNCTION("""COMPUTED_VALUE"""),"Папка-уголок")</f>
        <v>Папка-уголок</v>
      </c>
      <c r="C2" s="17" t="str">
        <f>IFERROR(__xludf.DUMMYFUNCTION("""COMPUTED_VALUE"""),"25 шт")</f>
        <v>25 шт</v>
      </c>
      <c r="D2" s="17" t="str">
        <f>IFERROR(__xludf.DUMMYFUNCTION("""COMPUTED_VALUE"""),"50 шт")</f>
        <v>50 шт</v>
      </c>
      <c r="E2" s="17" t="str">
        <f>IFERROR(__xludf.DUMMYFUNCTION("""COMPUTED_VALUE"""),"100 шт")</f>
        <v>100 шт</v>
      </c>
      <c r="F2" s="17" t="str">
        <f>IFERROR(__xludf.DUMMYFUNCTION("""COMPUTED_VALUE"""),"200 шт")</f>
        <v>200 шт</v>
      </c>
      <c r="G2" s="17" t="str">
        <f>IFERROR(__xludf.DUMMYFUNCTION("""COMPUTED_VALUE"""),"300 шт")</f>
        <v>300 шт</v>
      </c>
    </row>
    <row r="3">
      <c r="A3" s="10" t="str">
        <f>IFERROR(__xludf.DUMMYFUNCTION("""COMPUTED_VALUE"""),"ЭПУ-01")</f>
        <v>ЭПУ-01</v>
      </c>
      <c r="B3" s="20" t="str">
        <f>IFERROR(__xludf.DUMMYFUNCTION("""COMPUTED_VALUE"""),"Папка-уголок (формат А4) искусственная кожа с персонализацией, толщина материала 650 мкм")</f>
        <v>Папка-уголок (формат А4) искусственная кожа с персонализацией, толщина материала 650 мкм</v>
      </c>
      <c r="C3" s="22">
        <f>IFERROR(__xludf.DUMMYFUNCTION("""COMPUTED_VALUE"""),620.0)</f>
        <v>620</v>
      </c>
      <c r="D3" s="22">
        <f>IFERROR(__xludf.DUMMYFUNCTION("""COMPUTED_VALUE"""),520.0)</f>
        <v>520</v>
      </c>
      <c r="E3" s="22">
        <f>IFERROR(__xludf.DUMMYFUNCTION("""COMPUTED_VALUE"""),450.0)</f>
        <v>450</v>
      </c>
      <c r="F3" s="22">
        <f>IFERROR(__xludf.DUMMYFUNCTION("""COMPUTED_VALUE"""),400.0)</f>
        <v>400</v>
      </c>
      <c r="G3" s="22">
        <f>IFERROR(__xludf.DUMMYFUNCTION("""COMPUTED_VALUE"""),350.0)</f>
        <v>350</v>
      </c>
    </row>
    <row r="4">
      <c r="A4" s="10" t="str">
        <f>IFERROR(__xludf.DUMMYFUNCTION("""COMPUTED_VALUE"""),"ЭПУ-01П")</f>
        <v>ЭПУ-01П</v>
      </c>
      <c r="B4" s="20" t="str">
        <f>IFERROR(__xludf.DUMMYFUNCTION("""COMPUTED_VALUE"""),"Папка-уголок (формат А4) искусственная кожа с полноцветной печатью, толщина материала 650 мкм")</f>
        <v>Папка-уголок (формат А4) искусственная кожа с полноцветной печатью, толщина материала 650 мкм</v>
      </c>
      <c r="C4" s="22">
        <f>IFERROR(__xludf.DUMMYFUNCTION("""COMPUTED_VALUE"""),720.0)</f>
        <v>720</v>
      </c>
      <c r="D4" s="22">
        <f>IFERROR(__xludf.DUMMYFUNCTION("""COMPUTED_VALUE"""),620.0)</f>
        <v>620</v>
      </c>
      <c r="E4" s="22">
        <f>IFERROR(__xludf.DUMMYFUNCTION("""COMPUTED_VALUE"""),550.0)</f>
        <v>550</v>
      </c>
      <c r="F4" s="22">
        <f>IFERROR(__xludf.DUMMYFUNCTION("""COMPUTED_VALUE"""),500.0)</f>
        <v>500</v>
      </c>
      <c r="G4" s="22">
        <f>IFERROR(__xludf.DUMMYFUNCTION("""COMPUTED_VALUE"""),450.0)</f>
        <v>450</v>
      </c>
    </row>
    <row r="5">
      <c r="A5" s="15" t="str">
        <f>IFERROR(__xludf.DUMMYFUNCTION("""COMPUTED_VALUE"""),"Папка с карманом ")</f>
        <v>Папка с карманом </v>
      </c>
      <c r="B5" s="23" t="str">
        <f>IFERROR(__xludf.DUMMYFUNCTION("""COMPUTED_VALUE"""),"")</f>
        <v/>
      </c>
      <c r="C5" s="17" t="str">
        <f>IFERROR(__xludf.DUMMYFUNCTION("""COMPUTED_VALUE"""),"25 шт")</f>
        <v>25 шт</v>
      </c>
      <c r="D5" s="17" t="str">
        <f>IFERROR(__xludf.DUMMYFUNCTION("""COMPUTED_VALUE"""),"50 шт")</f>
        <v>50 шт</v>
      </c>
      <c r="E5" s="17" t="str">
        <f>IFERROR(__xludf.DUMMYFUNCTION("""COMPUTED_VALUE"""),"100 шт")</f>
        <v>100 шт</v>
      </c>
      <c r="F5" s="17" t="str">
        <f>IFERROR(__xludf.DUMMYFUNCTION("""COMPUTED_VALUE"""),"200 шт")</f>
        <v>200 шт</v>
      </c>
      <c r="G5" s="17" t="str">
        <f>IFERROR(__xludf.DUMMYFUNCTION("""COMPUTED_VALUE"""),"300 шт")</f>
        <v>300 шт</v>
      </c>
    </row>
    <row r="6">
      <c r="A6" s="10" t="str">
        <f>IFERROR(__xludf.DUMMYFUNCTION("""COMPUTED_VALUE"""),"ЭПК - 01")</f>
        <v>ЭПК - 01</v>
      </c>
      <c r="B6" s="20" t="str">
        <f>IFERROR(__xludf.DUMMYFUNCTION("""COMPUTED_VALUE"""),"Папка классическая с карманом (формат А4), искусственная кожа с персонализацией, толщина мтериала 650 мкм")</f>
        <v>Папка классическая с карманом (формат А4), искусственная кожа с персонализацией, толщина мтериала 650 мкм</v>
      </c>
      <c r="C6" s="22">
        <f>IFERROR(__xludf.DUMMYFUNCTION("""COMPUTED_VALUE"""),670.0)</f>
        <v>670</v>
      </c>
      <c r="D6" s="22">
        <f>IFERROR(__xludf.DUMMYFUNCTION("""COMPUTED_VALUE"""),570.0)</f>
        <v>570</v>
      </c>
      <c r="E6" s="22">
        <f>IFERROR(__xludf.DUMMYFUNCTION("""COMPUTED_VALUE"""),500.0)</f>
        <v>500</v>
      </c>
      <c r="F6" s="22">
        <f>IFERROR(__xludf.DUMMYFUNCTION("""COMPUTED_VALUE"""),450.0)</f>
        <v>450</v>
      </c>
      <c r="G6" s="22">
        <f>IFERROR(__xludf.DUMMYFUNCTION("""COMPUTED_VALUE"""),400.0)</f>
        <v>400</v>
      </c>
    </row>
    <row r="7">
      <c r="A7" s="10" t="str">
        <f>IFERROR(__xludf.DUMMYFUNCTION("""COMPUTED_VALUE"""),"ЭПК - 01П")</f>
        <v>ЭПК - 01П</v>
      </c>
      <c r="B7" s="20" t="str">
        <f>IFERROR(__xludf.DUMMYFUNCTION("""COMPUTED_VALUE"""),"Папка классическая с карманом (формат А4), искусственная кожа с полноцветной печатью, толщина мтериала 650 мкм")</f>
        <v>Папка классическая с карманом (формат А4), искусственная кожа с полноцветной печатью, толщина мтериала 650 мкм</v>
      </c>
      <c r="C7" s="22">
        <f>IFERROR(__xludf.DUMMYFUNCTION("""COMPUTED_VALUE"""),770.0)</f>
        <v>770</v>
      </c>
      <c r="D7" s="22">
        <f>IFERROR(__xludf.DUMMYFUNCTION("""COMPUTED_VALUE"""),670.0)</f>
        <v>670</v>
      </c>
      <c r="E7" s="22">
        <f>IFERROR(__xludf.DUMMYFUNCTION("""COMPUTED_VALUE"""),600.0)</f>
        <v>600</v>
      </c>
      <c r="F7" s="22">
        <f>IFERROR(__xludf.DUMMYFUNCTION("""COMPUTED_VALUE"""),550.0)</f>
        <v>550</v>
      </c>
      <c r="G7" s="22">
        <f>IFERROR(__xludf.DUMMYFUNCTION("""COMPUTED_VALUE"""),500.0)</f>
        <v>500</v>
      </c>
    </row>
    <row r="8">
      <c r="A8" s="15" t="str">
        <f>IFERROR(__xludf.DUMMYFUNCTION("""COMPUTED_VALUE"""),"Папка - конверт на кнопке ")</f>
        <v>Папка - конверт на кнопке </v>
      </c>
      <c r="B8" s="15" t="str">
        <f>IFERROR(__xludf.DUMMYFUNCTION("""COMPUTED_VALUE"""),"")</f>
        <v/>
      </c>
      <c r="C8" s="17" t="str">
        <f>IFERROR(__xludf.DUMMYFUNCTION("""COMPUTED_VALUE"""),"25 шт")</f>
        <v>25 шт</v>
      </c>
      <c r="D8" s="17" t="str">
        <f>IFERROR(__xludf.DUMMYFUNCTION("""COMPUTED_VALUE"""),"50 шт")</f>
        <v>50 шт</v>
      </c>
      <c r="E8" s="17" t="str">
        <f>IFERROR(__xludf.DUMMYFUNCTION("""COMPUTED_VALUE"""),"100 шт")</f>
        <v>100 шт</v>
      </c>
      <c r="F8" s="17" t="str">
        <f>IFERROR(__xludf.DUMMYFUNCTION("""COMPUTED_VALUE"""),"200 шт")</f>
        <v>200 шт</v>
      </c>
      <c r="G8" s="17" t="str">
        <f>IFERROR(__xludf.DUMMYFUNCTION("""COMPUTED_VALUE"""),"300 шт")</f>
        <v>300 шт</v>
      </c>
    </row>
    <row r="9">
      <c r="A9" s="10" t="str">
        <f>IFERROR(__xludf.DUMMYFUNCTION("""COMPUTED_VALUE"""),"ЭПКК - 01")</f>
        <v>ЭПКК - 01</v>
      </c>
      <c r="B9" s="20" t="str">
        <f>IFERROR(__xludf.DUMMYFUNCTION("""COMPUTED_VALUE"""),"Папка-конверт на кнопке (формат А5) искусственная кожа с персонализацией, 650 мкм")</f>
        <v>Папка-конверт на кнопке (формат А5) искусственная кожа с персонализацией, 650 мкм</v>
      </c>
      <c r="C9" s="22">
        <f>IFERROR(__xludf.DUMMYFUNCTION("""COMPUTED_VALUE"""),610.0)</f>
        <v>610</v>
      </c>
      <c r="D9" s="22">
        <f>IFERROR(__xludf.DUMMYFUNCTION("""COMPUTED_VALUE"""),510.0)</f>
        <v>510</v>
      </c>
      <c r="E9" s="22">
        <f>IFERROR(__xludf.DUMMYFUNCTION("""COMPUTED_VALUE"""),440.0)</f>
        <v>440</v>
      </c>
      <c r="F9" s="22">
        <f>IFERROR(__xludf.DUMMYFUNCTION("""COMPUTED_VALUE"""),390.0)</f>
        <v>390</v>
      </c>
      <c r="G9" s="22">
        <f>IFERROR(__xludf.DUMMYFUNCTION("""COMPUTED_VALUE"""),340.0)</f>
        <v>340</v>
      </c>
    </row>
    <row r="10">
      <c r="A10" s="10" t="str">
        <f>IFERROR(__xludf.DUMMYFUNCTION("""COMPUTED_VALUE"""),"ЭПКК - 01П")</f>
        <v>ЭПКК - 01П</v>
      </c>
      <c r="B10" s="20" t="str">
        <f>IFERROR(__xludf.DUMMYFUNCTION("""COMPUTED_VALUE"""),"Папка-конверт на кнопке (формат А5) искусственная кожа с полноцветной печатью, 650 мкм")</f>
        <v>Папка-конверт на кнопке (формат А5) искусственная кожа с полноцветной печатью, 650 мкм</v>
      </c>
      <c r="C10" s="22">
        <f>IFERROR(__xludf.DUMMYFUNCTION("""COMPUTED_VALUE"""),700.0)</f>
        <v>700</v>
      </c>
      <c r="D10" s="22">
        <f>IFERROR(__xludf.DUMMYFUNCTION("""COMPUTED_VALUE"""),600.0)</f>
        <v>600</v>
      </c>
      <c r="E10" s="22">
        <f>IFERROR(__xludf.DUMMYFUNCTION("""COMPUTED_VALUE"""),530.0)</f>
        <v>530</v>
      </c>
      <c r="F10" s="22">
        <f>IFERROR(__xludf.DUMMYFUNCTION("""COMPUTED_VALUE"""),480.0)</f>
        <v>480</v>
      </c>
      <c r="G10" s="22">
        <f>IFERROR(__xludf.DUMMYFUNCTION("""COMPUTED_VALUE"""),430.0)</f>
        <v>430</v>
      </c>
    </row>
    <row r="11">
      <c r="A11" s="10" t="str">
        <f>IFERROR(__xludf.DUMMYFUNCTION("""COMPUTED_VALUE"""),"ЭПКК - 02")</f>
        <v>ЭПКК - 02</v>
      </c>
      <c r="B11" s="20" t="str">
        <f>IFERROR(__xludf.DUMMYFUNCTION("""COMPUTED_VALUE"""),"Папка-конверт на кнопке (формат А4) искусственная кожа с персонализацией, 650 мкм")</f>
        <v>Папка-конверт на кнопке (формат А4) искусственная кожа с персонализацией, 650 мкм</v>
      </c>
      <c r="C11" s="22">
        <f>IFERROR(__xludf.DUMMYFUNCTION("""COMPUTED_VALUE"""),690.0)</f>
        <v>690</v>
      </c>
      <c r="D11" s="22">
        <f>IFERROR(__xludf.DUMMYFUNCTION("""COMPUTED_VALUE"""),590.0)</f>
        <v>590</v>
      </c>
      <c r="E11" s="22">
        <f>IFERROR(__xludf.DUMMYFUNCTION("""COMPUTED_VALUE"""),520.0)</f>
        <v>520</v>
      </c>
      <c r="F11" s="22">
        <f>IFERROR(__xludf.DUMMYFUNCTION("""COMPUTED_VALUE"""),470.0)</f>
        <v>470</v>
      </c>
      <c r="G11" s="22">
        <f>IFERROR(__xludf.DUMMYFUNCTION("""COMPUTED_VALUE"""),420.0)</f>
        <v>420</v>
      </c>
    </row>
    <row r="12">
      <c r="A12" s="10" t="str">
        <f>IFERROR(__xludf.DUMMYFUNCTION("""COMPUTED_VALUE"""),"ЭПКК - 02П")</f>
        <v>ЭПКК - 02П</v>
      </c>
      <c r="B12" s="20" t="str">
        <f>IFERROR(__xludf.DUMMYFUNCTION("""COMPUTED_VALUE"""),"Папка-конверт на кнопке (формат А4) искусственная кожа с полноцветной печатью, 650 мкм")</f>
        <v>Папка-конверт на кнопке (формат А4) искусственная кожа с полноцветной печатью, 650 мкм</v>
      </c>
      <c r="C12" s="22">
        <f>IFERROR(__xludf.DUMMYFUNCTION("""COMPUTED_VALUE"""),790.0)</f>
        <v>790</v>
      </c>
      <c r="D12" s="22">
        <f>IFERROR(__xludf.DUMMYFUNCTION("""COMPUTED_VALUE"""),690.0)</f>
        <v>690</v>
      </c>
      <c r="E12" s="22">
        <f>IFERROR(__xludf.DUMMYFUNCTION("""COMPUTED_VALUE"""),620.0)</f>
        <v>620</v>
      </c>
      <c r="F12" s="22">
        <f>IFERROR(__xludf.DUMMYFUNCTION("""COMPUTED_VALUE"""),570.0)</f>
        <v>570</v>
      </c>
      <c r="G12" s="22">
        <f>IFERROR(__xludf.DUMMYFUNCTION("""COMPUTED_VALUE"""),520.0)</f>
        <v>520</v>
      </c>
    </row>
    <row r="13">
      <c r="A13" s="15" t="str">
        <f>IFERROR(__xludf.DUMMYFUNCTION("""COMPUTED_VALUE"""),"Папка - конверт на молнии ")</f>
        <v>Папка - конверт на молнии </v>
      </c>
      <c r="B13" s="23" t="str">
        <f>IFERROR(__xludf.DUMMYFUNCTION("""COMPUTED_VALUE"""),"")</f>
        <v/>
      </c>
      <c r="C13" s="17" t="str">
        <f>IFERROR(__xludf.DUMMYFUNCTION("""COMPUTED_VALUE"""),"25 шт")</f>
        <v>25 шт</v>
      </c>
      <c r="D13" s="17" t="str">
        <f>IFERROR(__xludf.DUMMYFUNCTION("""COMPUTED_VALUE"""),"50 шт")</f>
        <v>50 шт</v>
      </c>
      <c r="E13" s="17" t="str">
        <f>IFERROR(__xludf.DUMMYFUNCTION("""COMPUTED_VALUE"""),"100 шт")</f>
        <v>100 шт</v>
      </c>
      <c r="F13" s="17" t="str">
        <f>IFERROR(__xludf.DUMMYFUNCTION("""COMPUTED_VALUE"""),"200 шт")</f>
        <v>200 шт</v>
      </c>
      <c r="G13" s="17" t="str">
        <f>IFERROR(__xludf.DUMMYFUNCTION("""COMPUTED_VALUE"""),"300 шт")</f>
        <v>300 шт</v>
      </c>
    </row>
    <row r="14">
      <c r="A14" s="10" t="str">
        <f>IFERROR(__xludf.DUMMYFUNCTION("""COMPUTED_VALUE"""),"ЭПКМ - 01")</f>
        <v>ЭПКМ - 01</v>
      </c>
      <c r="B14" s="20" t="str">
        <f>IFERROR(__xludf.DUMMYFUNCTION("""COMPUTED_VALUE"""),"Папка-пенал на молнии (205х90) искусственная кожа с персонализацией, 500 мкм")</f>
        <v>Папка-пенал на молнии (205х90) искусственная кожа с персонализацией, 500 мкм</v>
      </c>
      <c r="C14" s="22">
        <f>IFERROR(__xludf.DUMMYFUNCTION("""COMPUTED_VALUE"""),285.0)</f>
        <v>285</v>
      </c>
      <c r="D14" s="22">
        <f>IFERROR(__xludf.DUMMYFUNCTION("""COMPUTED_VALUE"""),265.0)</f>
        <v>265</v>
      </c>
      <c r="E14" s="22">
        <f>IFERROR(__xludf.DUMMYFUNCTION("""COMPUTED_VALUE"""),235.0)</f>
        <v>235</v>
      </c>
      <c r="F14" s="22">
        <f>IFERROR(__xludf.DUMMYFUNCTION("""COMPUTED_VALUE"""),205.0)</f>
        <v>205</v>
      </c>
      <c r="G14" s="22">
        <f>IFERROR(__xludf.DUMMYFUNCTION("""COMPUTED_VALUE"""),175.0)</f>
        <v>175</v>
      </c>
    </row>
    <row r="15">
      <c r="A15" s="10" t="str">
        <f>IFERROR(__xludf.DUMMYFUNCTION("""COMPUTED_VALUE"""),"ЭПКМ - 01П")</f>
        <v>ЭПКМ - 01П</v>
      </c>
      <c r="B15" s="20" t="str">
        <f>IFERROR(__xludf.DUMMYFUNCTION("""COMPUTED_VALUE"""),"Папка-пенал на молнии (205х90) искусственная кожа с полноцветной печатью, 500 мкм")</f>
        <v>Папка-пенал на молнии (205х90) искусственная кожа с полноцветной печатью, 500 мкм</v>
      </c>
      <c r="C15" s="22">
        <f>IFERROR(__xludf.DUMMYFUNCTION("""COMPUTED_VALUE"""),325.0)</f>
        <v>325</v>
      </c>
      <c r="D15" s="22">
        <f>IFERROR(__xludf.DUMMYFUNCTION("""COMPUTED_VALUE"""),305.0)</f>
        <v>305</v>
      </c>
      <c r="E15" s="22">
        <f>IFERROR(__xludf.DUMMYFUNCTION("""COMPUTED_VALUE"""),275.0)</f>
        <v>275</v>
      </c>
      <c r="F15" s="22">
        <f>IFERROR(__xludf.DUMMYFUNCTION("""COMPUTED_VALUE"""),245.0)</f>
        <v>245</v>
      </c>
      <c r="G15" s="22">
        <f>IFERROR(__xludf.DUMMYFUNCTION("""COMPUTED_VALUE"""),215.0)</f>
        <v>215</v>
      </c>
    </row>
    <row r="16">
      <c r="A16" s="10" t="str">
        <f>IFERROR(__xludf.DUMMYFUNCTION("""COMPUTED_VALUE"""),"ЭПКМ - 02")</f>
        <v>ЭПКМ - 02</v>
      </c>
      <c r="B16" s="20" t="str">
        <f>IFERROR(__xludf.DUMMYFUNCTION("""COMPUTED_VALUE"""),"Папка-конверт на молнии (формат А5) искусственная кожа с персонализацией, 500 мкм")</f>
        <v>Папка-конверт на молнии (формат А5) искусственная кожа с персонализацией, 500 мкм</v>
      </c>
      <c r="C16" s="22">
        <f>IFERROR(__xludf.DUMMYFUNCTION("""COMPUTED_VALUE"""),560.0)</f>
        <v>560</v>
      </c>
      <c r="D16" s="22">
        <f>IFERROR(__xludf.DUMMYFUNCTION("""COMPUTED_VALUE"""),460.0)</f>
        <v>460</v>
      </c>
      <c r="E16" s="22">
        <f>IFERROR(__xludf.DUMMYFUNCTION("""COMPUTED_VALUE"""),380.0)</f>
        <v>380</v>
      </c>
      <c r="F16" s="22">
        <f>IFERROR(__xludf.DUMMYFUNCTION("""COMPUTED_VALUE"""),330.0)</f>
        <v>330</v>
      </c>
      <c r="G16" s="22">
        <f>IFERROR(__xludf.DUMMYFUNCTION("""COMPUTED_VALUE"""),280.0)</f>
        <v>280</v>
      </c>
    </row>
    <row r="17">
      <c r="A17" s="10" t="str">
        <f>IFERROR(__xludf.DUMMYFUNCTION("""COMPUTED_VALUE"""),"ЭПКМ - 02П")</f>
        <v>ЭПКМ - 02П</v>
      </c>
      <c r="B17" s="20" t="str">
        <f>IFERROR(__xludf.DUMMYFUNCTION("""COMPUTED_VALUE"""),"Папка-конверт на молнии (формат А5) искусственная кожа с полноцветной печатью, 500 мкм")</f>
        <v>Папка-конверт на молнии (формат А5) искусственная кожа с полноцветной печатью, 500 мкм</v>
      </c>
      <c r="C17" s="22">
        <f>IFERROR(__xludf.DUMMYFUNCTION("""COMPUTED_VALUE"""),630.0)</f>
        <v>630</v>
      </c>
      <c r="D17" s="22">
        <f>IFERROR(__xludf.DUMMYFUNCTION("""COMPUTED_VALUE"""),530.0)</f>
        <v>530</v>
      </c>
      <c r="E17" s="22">
        <f>IFERROR(__xludf.DUMMYFUNCTION("""COMPUTED_VALUE"""),450.0)</f>
        <v>450</v>
      </c>
      <c r="F17" s="22">
        <f>IFERROR(__xludf.DUMMYFUNCTION("""COMPUTED_VALUE"""),400.0)</f>
        <v>400</v>
      </c>
      <c r="G17" s="22">
        <f>IFERROR(__xludf.DUMMYFUNCTION("""COMPUTED_VALUE"""),350.0)</f>
        <v>350</v>
      </c>
    </row>
    <row r="18">
      <c r="A18" s="10" t="str">
        <f>IFERROR(__xludf.DUMMYFUNCTION("""COMPUTED_VALUE"""),"ЭПКМ - 03")</f>
        <v>ЭПКМ - 03</v>
      </c>
      <c r="B18" s="20" t="str">
        <f>IFERROR(__xludf.DUMMYFUNCTION("""COMPUTED_VALUE"""),"Папка-конверт на молнии (формат А4) искусственная кожа с персонализацией, 500 мкм")</f>
        <v>Папка-конверт на молнии (формат А4) искусственная кожа с персонализацией, 500 мкм</v>
      </c>
      <c r="C18" s="22">
        <f>IFERROR(__xludf.DUMMYFUNCTION("""COMPUTED_VALUE"""),650.0)</f>
        <v>650</v>
      </c>
      <c r="D18" s="22">
        <f>IFERROR(__xludf.DUMMYFUNCTION("""COMPUTED_VALUE"""),550.0)</f>
        <v>550</v>
      </c>
      <c r="E18" s="22">
        <f>IFERROR(__xludf.DUMMYFUNCTION("""COMPUTED_VALUE"""),480.0)</f>
        <v>480</v>
      </c>
      <c r="F18" s="22">
        <f>IFERROR(__xludf.DUMMYFUNCTION("""COMPUTED_VALUE"""),430.0)</f>
        <v>430</v>
      </c>
      <c r="G18" s="22">
        <f>IFERROR(__xludf.DUMMYFUNCTION("""COMPUTED_VALUE"""),380.0)</f>
        <v>380</v>
      </c>
    </row>
    <row r="19">
      <c r="A19" s="10" t="str">
        <f>IFERROR(__xludf.DUMMYFUNCTION("""COMPUTED_VALUE"""),"ЭПКМ - 03П")</f>
        <v>ЭПКМ - 03П</v>
      </c>
      <c r="B19" s="20" t="str">
        <f>IFERROR(__xludf.DUMMYFUNCTION("""COMPUTED_VALUE"""),"Папка-конверт на молнии (формат А4) искусственная кожа с полноцветной печатью, 500")</f>
        <v>Папка-конверт на молнии (формат А4) искусственная кожа с полноцветной печатью, 500</v>
      </c>
      <c r="C19" s="22">
        <f>IFERROR(__xludf.DUMMYFUNCTION("""COMPUTED_VALUE"""),750.0)</f>
        <v>750</v>
      </c>
      <c r="D19" s="22">
        <f>IFERROR(__xludf.DUMMYFUNCTION("""COMPUTED_VALUE"""),650.0)</f>
        <v>650</v>
      </c>
      <c r="E19" s="22">
        <f>IFERROR(__xludf.DUMMYFUNCTION("""COMPUTED_VALUE"""),580.0)</f>
        <v>580</v>
      </c>
      <c r="F19" s="22">
        <f>IFERROR(__xludf.DUMMYFUNCTION("""COMPUTED_VALUE"""),530.0)</f>
        <v>530</v>
      </c>
      <c r="G19" s="22">
        <f>IFERROR(__xludf.DUMMYFUNCTION("""COMPUTED_VALUE"""),480.0)</f>
        <v>480</v>
      </c>
    </row>
    <row r="20">
      <c r="A20" s="15" t="str">
        <f>IFERROR(__xludf.DUMMYFUNCTION("""COMPUTED_VALUE"""),"Папка - Планшет ")</f>
        <v>Папка - Планшет </v>
      </c>
      <c r="B20" s="23" t="str">
        <f>IFERROR(__xludf.DUMMYFUNCTION("""COMPUTED_VALUE"""),"")</f>
        <v/>
      </c>
      <c r="C20" s="17" t="str">
        <f>IFERROR(__xludf.DUMMYFUNCTION("""COMPUTED_VALUE"""),"25 шт")</f>
        <v>25 шт</v>
      </c>
      <c r="D20" s="17" t="str">
        <f>IFERROR(__xludf.DUMMYFUNCTION("""COMPUTED_VALUE"""),"50 шт")</f>
        <v>50 шт</v>
      </c>
      <c r="E20" s="17" t="str">
        <f>IFERROR(__xludf.DUMMYFUNCTION("""COMPUTED_VALUE"""),"100 шт")</f>
        <v>100 шт</v>
      </c>
      <c r="F20" s="17" t="str">
        <f>IFERROR(__xludf.DUMMYFUNCTION("""COMPUTED_VALUE"""),"200 шт")</f>
        <v>200 шт</v>
      </c>
      <c r="G20" s="17" t="str">
        <f>IFERROR(__xludf.DUMMYFUNCTION("""COMPUTED_VALUE"""),"300 шт")</f>
        <v>300 шт</v>
      </c>
    </row>
    <row r="21">
      <c r="A21" s="10" t="str">
        <f>IFERROR(__xludf.DUMMYFUNCTION("""COMPUTED_VALUE"""),"ППК - 01")</f>
        <v>ППК - 01</v>
      </c>
      <c r="B21" s="20" t="str">
        <f>IFERROR(__xludf.DUMMYFUNCTION("""COMPUTED_VALUE"""),"Папка-Планшет, искусственная кожа с персонализацией, картон/кожа 230х318х3.0 мм.")</f>
        <v>Папка-Планшет, искусственная кожа с персонализацией, картон/кожа 230х318х3.0 мм.</v>
      </c>
      <c r="C21" s="22">
        <f>IFERROR(__xludf.DUMMYFUNCTION("""COMPUTED_VALUE"""),535.0)</f>
        <v>535</v>
      </c>
      <c r="D21" s="22">
        <f>IFERROR(__xludf.DUMMYFUNCTION("""COMPUTED_VALUE"""),485.0)</f>
        <v>485</v>
      </c>
      <c r="E21" s="22">
        <f>IFERROR(__xludf.DUMMYFUNCTION("""COMPUTED_VALUE"""),435.0)</f>
        <v>435</v>
      </c>
      <c r="F21" s="22">
        <f>IFERROR(__xludf.DUMMYFUNCTION("""COMPUTED_VALUE"""),385.0)</f>
        <v>385</v>
      </c>
      <c r="G21" s="22">
        <f>IFERROR(__xludf.DUMMYFUNCTION("""COMPUTED_VALUE"""),335.0)</f>
        <v>335</v>
      </c>
    </row>
    <row r="22">
      <c r="A22" s="10" t="str">
        <f>IFERROR(__xludf.DUMMYFUNCTION("""COMPUTED_VALUE"""),"ППК - 01Ц")</f>
        <v>ППК - 01Ц</v>
      </c>
      <c r="B22" s="20" t="str">
        <f>IFERROR(__xludf.DUMMYFUNCTION("""COMPUTED_VALUE"""),"Папка-Планшет, искусственная кожа с полноцветной печатью, картон/кожа 230х318х3.0 мм.")</f>
        <v>Папка-Планшет, искусственная кожа с полноцветной печатью, картон/кожа 230х318х3.0 мм.</v>
      </c>
      <c r="C22" s="22">
        <f>IFERROR(__xludf.DUMMYFUNCTION("""COMPUTED_VALUE"""),635.0)</f>
        <v>635</v>
      </c>
      <c r="D22" s="22">
        <f>IFERROR(__xludf.DUMMYFUNCTION("""COMPUTED_VALUE"""),585.0)</f>
        <v>585</v>
      </c>
      <c r="E22" s="22">
        <f>IFERROR(__xludf.DUMMYFUNCTION("""COMPUTED_VALUE"""),535.0)</f>
        <v>535</v>
      </c>
      <c r="F22" s="22">
        <f>IFERROR(__xludf.DUMMYFUNCTION("""COMPUTED_VALUE"""),485.0)</f>
        <v>485</v>
      </c>
      <c r="G22" s="22">
        <f>IFERROR(__xludf.DUMMYFUNCTION("""COMPUTED_VALUE"""),435.0)</f>
        <v>435</v>
      </c>
    </row>
    <row r="23">
      <c r="A23" s="10" t="str">
        <f>IFERROR(__xludf.DUMMYFUNCTION("""COMPUTED_VALUE"""),"ППКК - 02")</f>
        <v>ППКК - 02</v>
      </c>
      <c r="B23" s="20" t="str">
        <f>IFERROR(__xludf.DUMMYFUNCTION("""COMPUTED_VALUE"""),"Папка-Планшет с крышкой, искусственная кожа с персонализацией, картон/кожа 230х318х3.0 мм.")</f>
        <v>Папка-Планшет с крышкой, искусственная кожа с персонализацией, картон/кожа 230х318х3.0 мм.</v>
      </c>
      <c r="C23" s="22">
        <f>IFERROR(__xludf.DUMMYFUNCTION("""COMPUTED_VALUE"""),650.0)</f>
        <v>650</v>
      </c>
      <c r="D23" s="22">
        <f>IFERROR(__xludf.DUMMYFUNCTION("""COMPUTED_VALUE"""),600.0)</f>
        <v>600</v>
      </c>
      <c r="E23" s="22">
        <f>IFERROR(__xludf.DUMMYFUNCTION("""COMPUTED_VALUE"""),550.0)</f>
        <v>550</v>
      </c>
      <c r="F23" s="22">
        <f>IFERROR(__xludf.DUMMYFUNCTION("""COMPUTED_VALUE"""),500.0)</f>
        <v>500</v>
      </c>
      <c r="G23" s="22">
        <f>IFERROR(__xludf.DUMMYFUNCTION("""COMPUTED_VALUE"""),450.0)</f>
        <v>450</v>
      </c>
    </row>
    <row r="24">
      <c r="A24" s="24" t="str">
        <f>IFERROR(__xludf.DUMMYFUNCTION("""COMPUTED_VALUE"""),"ППКК - 02Ц")</f>
        <v>ППКК - 02Ц</v>
      </c>
      <c r="B24" s="25" t="str">
        <f>IFERROR(__xludf.DUMMYFUNCTION("""COMPUTED_VALUE"""),"Папка-Планшет с крышкой, искусственная кожа с полноцветной печатью, картон/кожа 230х318х3.0 мм.")</f>
        <v>Папка-Планшет с крышкой, искусственная кожа с полноцветной печатью, картон/кожа 230х318х3.0 мм.</v>
      </c>
      <c r="C24" s="26">
        <f>IFERROR(__xludf.DUMMYFUNCTION("""COMPUTED_VALUE"""),750.0)</f>
        <v>750</v>
      </c>
      <c r="D24" s="26">
        <f>IFERROR(__xludf.DUMMYFUNCTION("""COMPUTED_VALUE"""),700.0)</f>
        <v>700</v>
      </c>
      <c r="E24" s="26">
        <f>IFERROR(__xludf.DUMMYFUNCTION("""COMPUTED_VALUE"""),650.0)</f>
        <v>650</v>
      </c>
      <c r="F24" s="26">
        <f>IFERROR(__xludf.DUMMYFUNCTION("""COMPUTED_VALUE"""),600.0)</f>
        <v>600</v>
      </c>
      <c r="G24" s="26">
        <f>IFERROR(__xludf.DUMMYFUNCTION("""COMPUTED_VALUE"""),550.0)</f>
        <v>550</v>
      </c>
    </row>
    <row r="25">
      <c r="A25" s="27" t="str">
        <f>IFERROR(__xludf.DUMMYFUNCTION("""COMPUTED_VALUE"""),"Папка на кольцах (архивная)")</f>
        <v>Папка на кольцах (архивная)</v>
      </c>
      <c r="B25" s="29" t="str">
        <f>IFERROR(__xludf.DUMMYFUNCTION("""COMPUTED_VALUE"""),"")</f>
        <v/>
      </c>
      <c r="C25" s="30" t="str">
        <f>IFERROR(__xludf.DUMMYFUNCTION("""COMPUTED_VALUE"""),"25 шт")</f>
        <v>25 шт</v>
      </c>
      <c r="D25" s="30" t="str">
        <f>IFERROR(__xludf.DUMMYFUNCTION("""COMPUTED_VALUE"""),"50 шт")</f>
        <v>50 шт</v>
      </c>
      <c r="E25" s="30" t="str">
        <f>IFERROR(__xludf.DUMMYFUNCTION("""COMPUTED_VALUE"""),"100 шт")</f>
        <v>100 шт</v>
      </c>
      <c r="F25" s="30" t="str">
        <f>IFERROR(__xludf.DUMMYFUNCTION("""COMPUTED_VALUE"""),"200 шт")</f>
        <v>200 шт</v>
      </c>
      <c r="G25" s="30" t="str">
        <f>IFERROR(__xludf.DUMMYFUNCTION("""COMPUTED_VALUE"""),"300 шт")</f>
        <v>300 шт</v>
      </c>
    </row>
    <row r="26">
      <c r="A26" s="32" t="str">
        <f>IFERROR(__xludf.DUMMYFUNCTION("""COMPUTED_VALUE"""),"ПАК - 01")</f>
        <v>ПАК - 01</v>
      </c>
      <c r="B26" s="33" t="str">
        <f>IFERROR(__xludf.DUMMYFUNCTION("""COMPUTED_VALUE"""),"Папка на 4-х кольцах формат А4, искусственная кожа с персонализацией, ширина корешка 35/55 мм")</f>
        <v>Папка на 4-х кольцах формат А4, искусственная кожа с персонализацией, ширина корешка 35/55 мм</v>
      </c>
      <c r="C26" s="34">
        <f>IFERROR(__xludf.DUMMYFUNCTION("""COMPUTED_VALUE"""),750.0)</f>
        <v>750</v>
      </c>
      <c r="D26" s="34">
        <f>IFERROR(__xludf.DUMMYFUNCTION("""COMPUTED_VALUE"""),700.0)</f>
        <v>700</v>
      </c>
      <c r="E26" s="34">
        <f>IFERROR(__xludf.DUMMYFUNCTION("""COMPUTED_VALUE"""),650.0)</f>
        <v>650</v>
      </c>
      <c r="F26" s="34">
        <f>IFERROR(__xludf.DUMMYFUNCTION("""COMPUTED_VALUE"""),600.0)</f>
        <v>600</v>
      </c>
      <c r="G26" s="34">
        <f>IFERROR(__xludf.DUMMYFUNCTION("""COMPUTED_VALUE"""),550.0)</f>
        <v>550</v>
      </c>
    </row>
    <row r="27">
      <c r="A27" s="32" t="str">
        <f>IFERROR(__xludf.DUMMYFUNCTION("""COMPUTED_VALUE"""),"ПАК - 01Ц")</f>
        <v>ПАК - 01Ц</v>
      </c>
      <c r="B27" s="33" t="str">
        <f>IFERROR(__xludf.DUMMYFUNCTION("""COMPUTED_VALUE"""),"Папка на 4-х кольцах формат А4, искусственная кожа с полноцветной печатью, ширина корешка 35/55 мм")</f>
        <v>Папка на 4-х кольцах формат А4, искусственная кожа с полноцветной печатью, ширина корешка 35/55 мм</v>
      </c>
      <c r="C27" s="34">
        <f>IFERROR(__xludf.DUMMYFUNCTION("""COMPUTED_VALUE"""),850.0)</f>
        <v>850</v>
      </c>
      <c r="D27" s="34">
        <f>IFERROR(__xludf.DUMMYFUNCTION("""COMPUTED_VALUE"""),800.0)</f>
        <v>800</v>
      </c>
      <c r="E27" s="34">
        <f>IFERROR(__xludf.DUMMYFUNCTION("""COMPUTED_VALUE"""),750.0)</f>
        <v>750</v>
      </c>
      <c r="F27" s="34">
        <f>IFERROR(__xludf.DUMMYFUNCTION("""COMPUTED_VALUE"""),700.0)</f>
        <v>700</v>
      </c>
      <c r="G27" s="34">
        <f>IFERROR(__xludf.DUMMYFUNCTION("""COMPUTED_VALUE"""),650.0)</f>
        <v>650</v>
      </c>
    </row>
    <row r="28">
      <c r="A28" s="35" t="str">
        <f>IFERROR(__xludf.DUMMYFUNCTION("""COMPUTED_VALUE"""),"Штамп ")</f>
        <v>Штамп </v>
      </c>
      <c r="B28" s="36" t="str">
        <f>IFERROR(__xludf.DUMMYFUNCTION("""COMPUTED_VALUE"""),"Штамп для тиснения ")</f>
        <v>Штамп для тиснения </v>
      </c>
      <c r="C28" s="37">
        <f>IFERROR(__xludf.DUMMYFUNCTION("""COMPUTED_VALUE"""),7000.0)</f>
        <v>7000</v>
      </c>
      <c r="D28" s="38" t="str">
        <f>IFERROR(__xludf.DUMMYFUNCTION("""COMPUTED_VALUE"""),"")</f>
        <v/>
      </c>
      <c r="E28" s="38" t="str">
        <f>IFERROR(__xludf.DUMMYFUNCTION("""COMPUTED_VALUE"""),"")</f>
        <v/>
      </c>
      <c r="F28" s="38" t="str">
        <f>IFERROR(__xludf.DUMMYFUNCTION("""COMPUTED_VALUE"""),"")</f>
        <v/>
      </c>
      <c r="G28" s="38" t="str">
        <f>IFERROR(__xludf.DUMMYFUNCTION("""COMPUTED_VALUE"""),"")</f>
        <v/>
      </c>
    </row>
    <row r="29">
      <c r="A29" s="28" t="str">
        <f>IFERROR(__xludf.DUMMYFUNCTION("""COMPUTED_VALUE"""),"")</f>
        <v/>
      </c>
      <c r="B29" s="39" t="str">
        <f>IFERROR(__xludf.DUMMYFUNCTION("""COMPUTED_VALUE"""),"")</f>
        <v/>
      </c>
      <c r="C29" s="40" t="str">
        <f>IFERROR(__xludf.DUMMYFUNCTION("""COMPUTED_VALUE"""),"")</f>
        <v/>
      </c>
      <c r="D29" s="40" t="str">
        <f>IFERROR(__xludf.DUMMYFUNCTION("""COMPUTED_VALUE"""),"")</f>
        <v/>
      </c>
      <c r="E29" s="40" t="str">
        <f>IFERROR(__xludf.DUMMYFUNCTION("""COMPUTED_VALUE"""),"")</f>
        <v/>
      </c>
      <c r="F29" s="40" t="str">
        <f>IFERROR(__xludf.DUMMYFUNCTION("""COMPUTED_VALUE"""),"")</f>
        <v/>
      </c>
      <c r="G29" s="40" t="str">
        <f>IFERROR(__xludf.DUMMYFUNCTION("""COMPUTED_VALUE"""),"")</f>
        <v/>
      </c>
    </row>
    <row r="30">
      <c r="A30" s="41" t="str">
        <f>IFERROR(__xludf.DUMMYFUNCTION("""COMPUTED_VALUE""")," ИЗДЕЛИЯ (Искусственная Кожа)")</f>
        <v> ИЗДЕЛИЯ (Искусственная Кожа)</v>
      </c>
      <c r="B30" s="4" t="str">
        <f>IFERROR(__xludf.DUMMYFUNCTION("""COMPUTED_VALUE"""),"")</f>
        <v/>
      </c>
      <c r="C30" s="11" t="str">
        <f>IFERROR(__xludf.DUMMYFUNCTION("""COMPUTED_VALUE"""),"")</f>
        <v/>
      </c>
      <c r="D30" s="11" t="str">
        <f>IFERROR(__xludf.DUMMYFUNCTION("""COMPUTED_VALUE"""),"")</f>
        <v/>
      </c>
      <c r="E30" s="11" t="str">
        <f>IFERROR(__xludf.DUMMYFUNCTION("""COMPUTED_VALUE"""),"")</f>
        <v/>
      </c>
      <c r="F30" s="11" t="str">
        <f>IFERROR(__xludf.DUMMYFUNCTION("""COMPUTED_VALUE"""),"")</f>
        <v/>
      </c>
      <c r="G30" s="11" t="str">
        <f>IFERROR(__xludf.DUMMYFUNCTION("""COMPUTED_VALUE"""),"")</f>
        <v/>
      </c>
    </row>
    <row r="31">
      <c r="A31" s="6" t="str">
        <f>IFERROR(__xludf.DUMMYFUNCTION("""COMPUTED_VALUE"""),"Обложка для паспорта")</f>
        <v>Обложка для паспорта</v>
      </c>
      <c r="B31" s="42" t="str">
        <f>IFERROR(__xludf.DUMMYFUNCTION("""COMPUTED_VALUE"""),"")</f>
        <v/>
      </c>
      <c r="C31" s="43" t="str">
        <f>IFERROR(__xludf.DUMMYFUNCTION("""COMPUTED_VALUE"""),"50 шт")</f>
        <v>50 шт</v>
      </c>
      <c r="D31" s="43" t="str">
        <f>IFERROR(__xludf.DUMMYFUNCTION("""COMPUTED_VALUE"""),"100 шт")</f>
        <v>100 шт</v>
      </c>
      <c r="E31" s="43" t="str">
        <f>IFERROR(__xludf.DUMMYFUNCTION("""COMPUTED_VALUE"""),"200 шт")</f>
        <v>200 шт</v>
      </c>
      <c r="F31" s="43" t="str">
        <f>IFERROR(__xludf.DUMMYFUNCTION("""COMPUTED_VALUE"""),"300 шт")</f>
        <v>300 шт</v>
      </c>
      <c r="G31" s="43" t="str">
        <f>IFERROR(__xludf.DUMMYFUNCTION("""COMPUTED_VALUE"""),"500 шт")</f>
        <v>500 шт</v>
      </c>
    </row>
    <row r="32">
      <c r="A32" s="10" t="str">
        <f>IFERROR(__xludf.DUMMYFUNCTION("""COMPUTED_VALUE"""),"КОП-01")</f>
        <v>КОП-01</v>
      </c>
      <c r="B32" s="20" t="str">
        <f>IFERROR(__xludf.DUMMYFUNCTION("""COMPUTED_VALUE"""),"Обложка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32" s="22">
        <f>IFERROR(__xludf.DUMMYFUNCTION("""COMPUTED_VALUE"""),260.0)</f>
        <v>260</v>
      </c>
      <c r="D32" s="22">
        <f>IFERROR(__xludf.DUMMYFUNCTION("""COMPUTED_VALUE"""),240.0)</f>
        <v>240</v>
      </c>
      <c r="E32" s="22">
        <f>IFERROR(__xludf.DUMMYFUNCTION("""COMPUTED_VALUE"""),220.0)</f>
        <v>220</v>
      </c>
      <c r="F32" s="22">
        <f>IFERROR(__xludf.DUMMYFUNCTION("""COMPUTED_VALUE"""),205.0)</f>
        <v>205</v>
      </c>
      <c r="G32" s="22">
        <f>IFERROR(__xludf.DUMMYFUNCTION("""COMPUTED_VALUE"""),190.0)</f>
        <v>190</v>
      </c>
    </row>
    <row r="33">
      <c r="A33" s="45" t="str">
        <f>IFERROR(__xludf.DUMMYFUNCTION("""COMPUTED_VALUE"""),"КОП-01П")</f>
        <v>КОП-01П</v>
      </c>
      <c r="B33" s="47" t="str">
        <f>IFERROR(__xludf.DUMMYFUNCTION("""COMPUTED_VALUE"""),"Обложка для паспорта искусственная кожа с полноцветной печатью, дополнительные отделения,135х195 мм")</f>
        <v>Обложка для паспорта искусственная кожа с полноцветной печатью, дополнительные отделения,135х195 мм</v>
      </c>
      <c r="C33" s="49">
        <f>IFERROR(__xludf.DUMMYFUNCTION("""COMPUTED_VALUE"""),310.0)</f>
        <v>310</v>
      </c>
      <c r="D33" s="49">
        <f>IFERROR(__xludf.DUMMYFUNCTION("""COMPUTED_VALUE"""),290.0)</f>
        <v>290</v>
      </c>
      <c r="E33" s="49">
        <f>IFERROR(__xludf.DUMMYFUNCTION("""COMPUTED_VALUE"""),270.0)</f>
        <v>270</v>
      </c>
      <c r="F33" s="49">
        <f>IFERROR(__xludf.DUMMYFUNCTION("""COMPUTED_VALUE"""),255.0)</f>
        <v>255</v>
      </c>
      <c r="G33" s="49">
        <f>IFERROR(__xludf.DUMMYFUNCTION("""COMPUTED_VALUE"""),240.0)</f>
        <v>240</v>
      </c>
    </row>
    <row r="34">
      <c r="A34" s="10" t="str">
        <f>IFERROR(__xludf.DUMMYFUNCTION("""COMPUTED_VALUE"""),"КОП-02")</f>
        <v>КОП-02</v>
      </c>
      <c r="B34" s="20" t="str">
        <f>IFERROR(__xludf.DUMMYFUNCTION("""COMPUTED_VALUE"""),"Обложка для паспорта искусственная кожа с персонализацией , 131х188 мм")</f>
        <v>Обложка для паспорта искусственная кожа с персонализацией , 131х188 мм</v>
      </c>
      <c r="C34" s="22">
        <f>IFERROR(__xludf.DUMMYFUNCTION("""COMPUTED_VALUE"""),220.0)</f>
        <v>220</v>
      </c>
      <c r="D34" s="22">
        <f>IFERROR(__xludf.DUMMYFUNCTION("""COMPUTED_VALUE"""),200.0)</f>
        <v>200</v>
      </c>
      <c r="E34" s="22">
        <f>IFERROR(__xludf.DUMMYFUNCTION("""COMPUTED_VALUE"""),180.0)</f>
        <v>180</v>
      </c>
      <c r="F34" s="22">
        <f>IFERROR(__xludf.DUMMYFUNCTION("""COMPUTED_VALUE"""),165.0)</f>
        <v>165</v>
      </c>
      <c r="G34" s="22">
        <f>IFERROR(__xludf.DUMMYFUNCTION("""COMPUTED_VALUE"""),150.0)</f>
        <v>150</v>
      </c>
    </row>
    <row r="35">
      <c r="A35" s="10" t="str">
        <f>IFERROR(__xludf.DUMMYFUNCTION("""COMPUTED_VALUE"""),"КОП-02П")</f>
        <v>КОП-02П</v>
      </c>
      <c r="B35" s="20" t="str">
        <f>IFERROR(__xludf.DUMMYFUNCTION("""COMPUTED_VALUE"""),"Обложка для паспорта искусственная кожа с полноцветной печатью, 131х188 мм")</f>
        <v>Обложка для паспорта искусственная кожа с полноцветной печатью, 131х188 мм</v>
      </c>
      <c r="C35" s="22">
        <f>IFERROR(__xludf.DUMMYFUNCTION("""COMPUTED_VALUE"""),270.0)</f>
        <v>270</v>
      </c>
      <c r="D35" s="22">
        <f>IFERROR(__xludf.DUMMYFUNCTION("""COMPUTED_VALUE"""),250.0)</f>
        <v>250</v>
      </c>
      <c r="E35" s="22">
        <f>IFERROR(__xludf.DUMMYFUNCTION("""COMPUTED_VALUE"""),230.0)</f>
        <v>230</v>
      </c>
      <c r="F35" s="22">
        <f>IFERROR(__xludf.DUMMYFUNCTION("""COMPUTED_VALUE"""),215.0)</f>
        <v>215</v>
      </c>
      <c r="G35" s="22">
        <f>IFERROR(__xludf.DUMMYFUNCTION("""COMPUTED_VALUE"""),200.0)</f>
        <v>200</v>
      </c>
    </row>
    <row r="36">
      <c r="A36" s="15" t="str">
        <f>IFERROR(__xludf.DUMMYFUNCTION("""COMPUTED_VALUE"""),"Обложка для студенческого")</f>
        <v>Обложка для студенческого</v>
      </c>
      <c r="B36" s="23" t="str">
        <f>IFERROR(__xludf.DUMMYFUNCTION("""COMPUTED_VALUE"""),"")</f>
        <v/>
      </c>
      <c r="C36" s="17" t="str">
        <f>IFERROR(__xludf.DUMMYFUNCTION("""COMPUTED_VALUE"""),"50 шт")</f>
        <v>50 шт</v>
      </c>
      <c r="D36" s="17" t="str">
        <f>IFERROR(__xludf.DUMMYFUNCTION("""COMPUTED_VALUE"""),"100 шт")</f>
        <v>100 шт</v>
      </c>
      <c r="E36" s="17" t="str">
        <f>IFERROR(__xludf.DUMMYFUNCTION("""COMPUTED_VALUE"""),"200 шт")</f>
        <v>200 шт</v>
      </c>
      <c r="F36" s="17" t="str">
        <f>IFERROR(__xludf.DUMMYFUNCTION("""COMPUTED_VALUE"""),"300 шт")</f>
        <v>300 шт</v>
      </c>
      <c r="G36" s="17" t="str">
        <f>IFERROR(__xludf.DUMMYFUNCTION("""COMPUTED_VALUE"""),"500 шт")</f>
        <v>500 шт</v>
      </c>
    </row>
    <row r="37">
      <c r="A37" s="10" t="str">
        <f>IFERROR(__xludf.DUMMYFUNCTION("""COMPUTED_VALUE"""),"КОУ-01")</f>
        <v>КОУ-01</v>
      </c>
      <c r="B37" s="20" t="str">
        <f>IFERROR(__xludf.DUMMYFUNCTION("""COMPUTED_VALUE"""),"Обложка для студенческого искусственная кожа с персонализацией, 216х78 мм")</f>
        <v>Обложка для студенческого искусственная кожа с персонализацией, 216х78 мм</v>
      </c>
      <c r="C37" s="22">
        <f>IFERROR(__xludf.DUMMYFUNCTION("""COMPUTED_VALUE"""),180.0)</f>
        <v>180</v>
      </c>
      <c r="D37" s="22">
        <f>IFERROR(__xludf.DUMMYFUNCTION("""COMPUTED_VALUE"""),160.0)</f>
        <v>160</v>
      </c>
      <c r="E37" s="22">
        <f>IFERROR(__xludf.DUMMYFUNCTION("""COMPUTED_VALUE"""),140.0)</f>
        <v>140</v>
      </c>
      <c r="F37" s="22">
        <f>IFERROR(__xludf.DUMMYFUNCTION("""COMPUTED_VALUE"""),125.0)</f>
        <v>125</v>
      </c>
      <c r="G37" s="22">
        <f>IFERROR(__xludf.DUMMYFUNCTION("""COMPUTED_VALUE"""),110.0)</f>
        <v>110</v>
      </c>
    </row>
    <row r="38">
      <c r="A38" s="10" t="str">
        <f>IFERROR(__xludf.DUMMYFUNCTION("""COMPUTED_VALUE"""),"КОУ-01П")</f>
        <v>КОУ-01П</v>
      </c>
      <c r="B38" s="20" t="str">
        <f>IFERROR(__xludf.DUMMYFUNCTION("""COMPUTED_VALUE"""),"Обложка для студенческого искусственная кожа с полноцветной печатью, 216х78 мм")</f>
        <v>Обложка для студенческого искусственная кожа с полноцветной печатью, 216х78 мм</v>
      </c>
      <c r="C38" s="22">
        <f>IFERROR(__xludf.DUMMYFUNCTION("""COMPUTED_VALUE"""),220.0)</f>
        <v>220</v>
      </c>
      <c r="D38" s="22">
        <f>IFERROR(__xludf.DUMMYFUNCTION("""COMPUTED_VALUE"""),200.0)</f>
        <v>200</v>
      </c>
      <c r="E38" s="22">
        <f>IFERROR(__xludf.DUMMYFUNCTION("""COMPUTED_VALUE"""),180.0)</f>
        <v>180</v>
      </c>
      <c r="F38" s="22">
        <f>IFERROR(__xludf.DUMMYFUNCTION("""COMPUTED_VALUE"""),165.0)</f>
        <v>165</v>
      </c>
      <c r="G38" s="22">
        <f>IFERROR(__xludf.DUMMYFUNCTION("""COMPUTED_VALUE"""),150.0)</f>
        <v>150</v>
      </c>
    </row>
    <row r="39">
      <c r="A39" s="15" t="str">
        <f>IFERROR(__xludf.DUMMYFUNCTION("""COMPUTED_VALUE"""),"Обложки для автодокументов")</f>
        <v>Обложки для автодокументов</v>
      </c>
      <c r="B39" s="23" t="str">
        <f>IFERROR(__xludf.DUMMYFUNCTION("""COMPUTED_VALUE"""),"")</f>
        <v/>
      </c>
      <c r="C39" s="17" t="str">
        <f>IFERROR(__xludf.DUMMYFUNCTION("""COMPUTED_VALUE"""),"50 шт")</f>
        <v>50 шт</v>
      </c>
      <c r="D39" s="17" t="str">
        <f>IFERROR(__xludf.DUMMYFUNCTION("""COMPUTED_VALUE"""),"100 шт")</f>
        <v>100 шт</v>
      </c>
      <c r="E39" s="17" t="str">
        <f>IFERROR(__xludf.DUMMYFUNCTION("""COMPUTED_VALUE"""),"200 шт")</f>
        <v>200 шт</v>
      </c>
      <c r="F39" s="17" t="str">
        <f>IFERROR(__xludf.DUMMYFUNCTION("""COMPUTED_VALUE"""),"300 шт")</f>
        <v>300 шт</v>
      </c>
      <c r="G39" s="17" t="str">
        <f>IFERROR(__xludf.DUMMYFUNCTION("""COMPUTED_VALUE"""),"500 шт")</f>
        <v>500 шт</v>
      </c>
    </row>
    <row r="40">
      <c r="A40" s="10" t="str">
        <f>IFERROR(__xludf.DUMMYFUNCTION("""COMPUTED_VALUE"""),"КОД-01")</f>
        <v>КОД-01</v>
      </c>
      <c r="B40" s="20" t="str">
        <f>IFERROR(__xludf.DUMMYFUNCTION("""COMPUTED_VALUE"""),"Обложка для автодокументов искусственная кожа с персонализацией, дополнительные отделения, 135х195 мм")</f>
        <v>Обложка для автодокументов искусственная кожа с персонализацией, дополнительные отделения, 135х195 мм</v>
      </c>
      <c r="C40" s="22">
        <f>IFERROR(__xludf.DUMMYFUNCTION("""COMPUTED_VALUE"""),300.0)</f>
        <v>300</v>
      </c>
      <c r="D40" s="22">
        <f>IFERROR(__xludf.DUMMYFUNCTION("""COMPUTED_VALUE"""),280.0)</f>
        <v>280</v>
      </c>
      <c r="E40" s="22">
        <f>IFERROR(__xludf.DUMMYFUNCTION("""COMPUTED_VALUE"""),260.0)</f>
        <v>260</v>
      </c>
      <c r="F40" s="22">
        <f>IFERROR(__xludf.DUMMYFUNCTION("""COMPUTED_VALUE"""),245.0)</f>
        <v>245</v>
      </c>
      <c r="G40" s="22">
        <f>IFERROR(__xludf.DUMMYFUNCTION("""COMPUTED_VALUE"""),230.0)</f>
        <v>230</v>
      </c>
    </row>
    <row r="41">
      <c r="A41" s="10" t="str">
        <f>IFERROR(__xludf.DUMMYFUNCTION("""COMPUTED_VALUE"""),"КОД-01П")</f>
        <v>КОД-01П</v>
      </c>
      <c r="B41" s="20" t="str">
        <f>IFERROR(__xludf.DUMMYFUNCTION("""COMPUTED_VALUE"""),"Обложка для автодокументов искусственная кожа с полноцветной печатью, дополнительные отделения,135х195 мм")</f>
        <v>Обложка для автодокументов искусственная кожа с полноцветной печатью, дополнительные отделения,135х195 мм</v>
      </c>
      <c r="C41" s="22">
        <f>IFERROR(__xludf.DUMMYFUNCTION("""COMPUTED_VALUE"""),350.0)</f>
        <v>350</v>
      </c>
      <c r="D41" s="22">
        <f>IFERROR(__xludf.DUMMYFUNCTION("""COMPUTED_VALUE"""),330.0)</f>
        <v>330</v>
      </c>
      <c r="E41" s="22">
        <f>IFERROR(__xludf.DUMMYFUNCTION("""COMPUTED_VALUE"""),310.0)</f>
        <v>310</v>
      </c>
      <c r="F41" s="22">
        <f>IFERROR(__xludf.DUMMYFUNCTION("""COMPUTED_VALUE"""),295.0)</f>
        <v>295</v>
      </c>
      <c r="G41" s="22">
        <f>IFERROR(__xludf.DUMMYFUNCTION("""COMPUTED_VALUE"""),280.0)</f>
        <v>280</v>
      </c>
    </row>
    <row r="42">
      <c r="A42" s="6" t="str">
        <f>IFERROR(__xludf.DUMMYFUNCTION("""COMPUTED_VALUE"""),"Органайзер для путешественника")</f>
        <v>Органайзер для путешественника</v>
      </c>
      <c r="B42" s="42" t="str">
        <f>IFERROR(__xludf.DUMMYFUNCTION("""COMPUTED_VALUE"""),"")</f>
        <v/>
      </c>
      <c r="C42" s="43" t="str">
        <f>IFERROR(__xludf.DUMMYFUNCTION("""COMPUTED_VALUE"""),"50 шт")</f>
        <v>50 шт</v>
      </c>
      <c r="D42" s="43" t="str">
        <f>IFERROR(__xludf.DUMMYFUNCTION("""COMPUTED_VALUE"""),"100 шт")</f>
        <v>100 шт</v>
      </c>
      <c r="E42" s="43" t="str">
        <f>IFERROR(__xludf.DUMMYFUNCTION("""COMPUTED_VALUE"""),"200 шт")</f>
        <v>200 шт</v>
      </c>
      <c r="F42" s="43" t="str">
        <f>IFERROR(__xludf.DUMMYFUNCTION("""COMPUTED_VALUE"""),"300 шт")</f>
        <v>300 шт</v>
      </c>
      <c r="G42" s="43" t="str">
        <f>IFERROR(__xludf.DUMMYFUNCTION("""COMPUTED_VALUE"""),"500 шт")</f>
        <v>500 шт</v>
      </c>
    </row>
    <row r="43">
      <c r="A43" s="10" t="str">
        <f>IFERROR(__xludf.DUMMYFUNCTION("""COMPUTED_VALUE"""),"КОХП-01")</f>
        <v>КОХП-01</v>
      </c>
      <c r="B43" s="20" t="str">
        <f>IFERROR(__xludf.DUMMYFUNCTION("""COMPUTED_VALUE"""),"Органайзер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43" s="22">
        <f>IFERROR(__xludf.DUMMYFUNCTION("""COMPUTED_VALUE"""),295.0)</f>
        <v>295</v>
      </c>
      <c r="D43" s="22">
        <f>IFERROR(__xludf.DUMMYFUNCTION("""COMPUTED_VALUE"""),275.0)</f>
        <v>275</v>
      </c>
      <c r="E43" s="22">
        <f>IFERROR(__xludf.DUMMYFUNCTION("""COMPUTED_VALUE"""),255.0)</f>
        <v>255</v>
      </c>
      <c r="F43" s="22">
        <f>IFERROR(__xludf.DUMMYFUNCTION("""COMPUTED_VALUE"""),240.0)</f>
        <v>240</v>
      </c>
      <c r="G43" s="22">
        <f>IFERROR(__xludf.DUMMYFUNCTION("""COMPUTED_VALUE"""),225.0)</f>
        <v>225</v>
      </c>
    </row>
    <row r="44">
      <c r="A44" s="45" t="str">
        <f>IFERROR(__xludf.DUMMYFUNCTION("""COMPUTED_VALUE"""),"КОХП-01П")</f>
        <v>КОХП-01П</v>
      </c>
      <c r="B44" s="47" t="str">
        <f>IFERROR(__xludf.DUMMYFUNCTION("""COMPUTED_VALUE"""),"Органайзер для путешественника искусственная кожа с полноцветной печатью, дополнительные отделения, 98х215")</f>
        <v>Органайзер для путешественника искусственная кожа с полноцветной печатью, дополнительные отделения, 98х215</v>
      </c>
      <c r="C44" s="49">
        <f>IFERROR(__xludf.DUMMYFUNCTION("""COMPUTED_VALUE"""),345.0)</f>
        <v>345</v>
      </c>
      <c r="D44" s="49">
        <f>IFERROR(__xludf.DUMMYFUNCTION("""COMPUTED_VALUE"""),325.0)</f>
        <v>325</v>
      </c>
      <c r="E44" s="49">
        <f>IFERROR(__xludf.DUMMYFUNCTION("""COMPUTED_VALUE"""),305.0)</f>
        <v>305</v>
      </c>
      <c r="F44" s="49">
        <f>IFERROR(__xludf.DUMMYFUNCTION("""COMPUTED_VALUE"""),290.0)</f>
        <v>290</v>
      </c>
      <c r="G44" s="49">
        <f>IFERROR(__xludf.DUMMYFUNCTION("""COMPUTED_VALUE"""),275.0)</f>
        <v>275</v>
      </c>
    </row>
    <row r="45">
      <c r="A45" s="10" t="str">
        <f>IFERROR(__xludf.DUMMYFUNCTION("""COMPUTED_VALUE"""),"КОХП-02")</f>
        <v>КОХП-02</v>
      </c>
      <c r="B45" s="20" t="str">
        <f>IFERROR(__xludf.DUMMYFUNCTION("""COMPUTED_VALUE"""),"Органайзер для путешественника семейный искусственная кожа с персонализацией, дополнительные отделения, 150х230")</f>
        <v>Органайзер для путешественника семейный искусственная кожа с персонализацией, дополнительные отделения, 150х230</v>
      </c>
      <c r="C45" s="22">
        <f>IFERROR(__xludf.DUMMYFUNCTION("""COMPUTED_VALUE"""),550.0)</f>
        <v>550</v>
      </c>
      <c r="D45" s="22">
        <f>IFERROR(__xludf.DUMMYFUNCTION("""COMPUTED_VALUE"""),510.0)</f>
        <v>510</v>
      </c>
      <c r="E45" s="22">
        <f>IFERROR(__xludf.DUMMYFUNCTION("""COMPUTED_VALUE"""),460.0)</f>
        <v>460</v>
      </c>
      <c r="F45" s="22">
        <f>IFERROR(__xludf.DUMMYFUNCTION("""COMPUTED_VALUE"""),410.0)</f>
        <v>410</v>
      </c>
      <c r="G45" s="22">
        <f>IFERROR(__xludf.DUMMYFUNCTION("""COMPUTED_VALUE"""),390.0)</f>
        <v>390</v>
      </c>
    </row>
    <row r="46">
      <c r="A46" s="10" t="str">
        <f>IFERROR(__xludf.DUMMYFUNCTION("""COMPUTED_VALUE"""),"КОХП-02П")</f>
        <v>КОХП-02П</v>
      </c>
      <c r="B46" s="20" t="str">
        <f>IFERROR(__xludf.DUMMYFUNCTION("""COMPUTED_VALUE"""),"Органайзер для путешественника семейный искусственная кожа с полноцветной печатью, дополнительные отделения, 150х230")</f>
        <v>Органайзер для путешественника семейный искусственная кожа с полноцветной печатью, дополнительные отделения, 150х230</v>
      </c>
      <c r="C46" s="22">
        <f>IFERROR(__xludf.DUMMYFUNCTION("""COMPUTED_VALUE"""),620.0)</f>
        <v>620</v>
      </c>
      <c r="D46" s="22">
        <f>IFERROR(__xludf.DUMMYFUNCTION("""COMPUTED_VALUE"""),580.0)</f>
        <v>580</v>
      </c>
      <c r="E46" s="22">
        <f>IFERROR(__xludf.DUMMYFUNCTION("""COMPUTED_VALUE"""),530.0)</f>
        <v>530</v>
      </c>
      <c r="F46" s="22">
        <f>IFERROR(__xludf.DUMMYFUNCTION("""COMPUTED_VALUE"""),480.0)</f>
        <v>480</v>
      </c>
      <c r="G46" s="22">
        <f>IFERROR(__xludf.DUMMYFUNCTION("""COMPUTED_VALUE"""),460.0)</f>
        <v>460</v>
      </c>
    </row>
    <row r="47">
      <c r="A47" s="56" t="str">
        <f>IFERROR(__xludf.DUMMYFUNCTION("""COMPUTED_VALUE"""),"")</f>
        <v/>
      </c>
      <c r="B47" s="57" t="str">
        <f>IFERROR(__xludf.DUMMYFUNCTION("""COMPUTED_VALUE"""),"Надбавка за внутреннюю запечатку полноцветом изделия КОХП-01П(в этом случае внутренний прозрачный карман убирается)")</f>
        <v>Надбавка за внутреннюю запечатку полноцветом изделия КОХП-01П(в этом случае внутренний прозрачный карман убирается)</v>
      </c>
      <c r="C47" s="58">
        <f>IFERROR(__xludf.DUMMYFUNCTION("""COMPUTED_VALUE"""),36.0)</f>
        <v>36</v>
      </c>
      <c r="D47" s="58">
        <f>IFERROR(__xludf.DUMMYFUNCTION("""COMPUTED_VALUE"""),36.0)</f>
        <v>36</v>
      </c>
      <c r="E47" s="58">
        <f>IFERROR(__xludf.DUMMYFUNCTION("""COMPUTED_VALUE"""),36.0)</f>
        <v>36</v>
      </c>
      <c r="F47" s="58">
        <f>IFERROR(__xludf.DUMMYFUNCTION("""COMPUTED_VALUE"""),30.0)</f>
        <v>30</v>
      </c>
      <c r="G47" s="58">
        <f>IFERROR(__xludf.DUMMYFUNCTION("""COMPUTED_VALUE"""),30.0)</f>
        <v>30</v>
      </c>
    </row>
    <row r="48">
      <c r="A48" s="13" t="str">
        <f>IFERROR(__xludf.DUMMYFUNCTION("""COMPUTED_VALUE"""),"Багажная Бирка")</f>
        <v>Багажная Бирка</v>
      </c>
      <c r="B48" s="60" t="str">
        <f>IFERROR(__xludf.DUMMYFUNCTION("""COMPUTED_VALUE"""),"")</f>
        <v/>
      </c>
      <c r="C48" s="61" t="str">
        <f>IFERROR(__xludf.DUMMYFUNCTION("""COMPUTED_VALUE"""),"50 шт")</f>
        <v>50 шт</v>
      </c>
      <c r="D48" s="61" t="str">
        <f>IFERROR(__xludf.DUMMYFUNCTION("""COMPUTED_VALUE"""),"100 шт")</f>
        <v>100 шт</v>
      </c>
      <c r="E48" s="61" t="str">
        <f>IFERROR(__xludf.DUMMYFUNCTION("""COMPUTED_VALUE"""),"200 шт")</f>
        <v>200 шт</v>
      </c>
      <c r="F48" s="61" t="str">
        <f>IFERROR(__xludf.DUMMYFUNCTION("""COMPUTED_VALUE"""),"300 шт")</f>
        <v>300 шт</v>
      </c>
      <c r="G48" s="61" t="str">
        <f>IFERROR(__xludf.DUMMYFUNCTION("""COMPUTED_VALUE"""),"500 шт")</f>
        <v>500 шт</v>
      </c>
    </row>
    <row r="49">
      <c r="A49" s="62" t="str">
        <f>IFERROR(__xludf.DUMMYFUNCTION("""COMPUTED_VALUE"""),"ББ-01")</f>
        <v>ББ-01</v>
      </c>
      <c r="B49" s="63" t="str">
        <f>IFERROR(__xludf.DUMMYFUNCTION("""COMPUTED_VALUE"""),"Багажная бирка искусственная кожа с персонализацией")</f>
        <v>Багажная бирка искусственная кожа с персонализацией</v>
      </c>
      <c r="C49" s="49">
        <f>IFERROR(__xludf.DUMMYFUNCTION("""COMPUTED_VALUE"""),130.0)</f>
        <v>130</v>
      </c>
      <c r="D49" s="49">
        <f>IFERROR(__xludf.DUMMYFUNCTION("""COMPUTED_VALUE"""),125.0)</f>
        <v>125</v>
      </c>
      <c r="E49" s="49">
        <f>IFERROR(__xludf.DUMMYFUNCTION("""COMPUTED_VALUE"""),120.0)</f>
        <v>120</v>
      </c>
      <c r="F49" s="49">
        <f>IFERROR(__xludf.DUMMYFUNCTION("""COMPUTED_VALUE"""),115.0)</f>
        <v>115</v>
      </c>
      <c r="G49" s="49">
        <f>IFERROR(__xludf.DUMMYFUNCTION("""COMPUTED_VALUE"""),105.0)</f>
        <v>105</v>
      </c>
    </row>
    <row r="50">
      <c r="A50" s="10" t="str">
        <f>IFERROR(__xludf.DUMMYFUNCTION("""COMPUTED_VALUE"""),"ББ-01П")</f>
        <v>ББ-01П</v>
      </c>
      <c r="B50" s="20" t="str">
        <f>IFERROR(__xludf.DUMMYFUNCTION("""COMPUTED_VALUE"""),"Багажная бирка искусственная кожа с полноцветной печатью")</f>
        <v>Багажная бирка искусственная кожа с полноцветной печатью</v>
      </c>
      <c r="C50" s="22">
        <f>IFERROR(__xludf.DUMMYFUNCTION("""COMPUTED_VALUE"""),150.0)</f>
        <v>150</v>
      </c>
      <c r="D50" s="22">
        <f>IFERROR(__xludf.DUMMYFUNCTION("""COMPUTED_VALUE"""),145.0)</f>
        <v>145</v>
      </c>
      <c r="E50" s="22">
        <f>IFERROR(__xludf.DUMMYFUNCTION("""COMPUTED_VALUE"""),140.0)</f>
        <v>140</v>
      </c>
      <c r="F50" s="22">
        <f>IFERROR(__xludf.DUMMYFUNCTION("""COMPUTED_VALUE"""),135.0)</f>
        <v>135</v>
      </c>
      <c r="G50" s="22">
        <f>IFERROR(__xludf.DUMMYFUNCTION("""COMPUTED_VALUE"""),125.0)</f>
        <v>125</v>
      </c>
    </row>
    <row r="51">
      <c r="A51" s="10" t="str">
        <f>IFERROR(__xludf.DUMMYFUNCTION("""COMPUTED_VALUE"""),"ББ-02")</f>
        <v>ББ-02</v>
      </c>
      <c r="B51" s="20" t="str">
        <f>IFERROR(__xludf.DUMMYFUNCTION("""COMPUTED_VALUE"""),"Багажная бирка на СЕРОЙ резинке, искусственная кожа с персонализацией")</f>
        <v>Багажная бирка на СЕРОЙ резинке, искусственная кожа с персонализацией</v>
      </c>
      <c r="C51" s="22">
        <f>IFERROR(__xludf.DUMMYFUNCTION("""COMPUTED_VALUE"""),140.0)</f>
        <v>140</v>
      </c>
      <c r="D51" s="22">
        <f>IFERROR(__xludf.DUMMYFUNCTION("""COMPUTED_VALUE"""),135.0)</f>
        <v>135</v>
      </c>
      <c r="E51" s="22">
        <f>IFERROR(__xludf.DUMMYFUNCTION("""COMPUTED_VALUE"""),130.0)</f>
        <v>130</v>
      </c>
      <c r="F51" s="22">
        <f>IFERROR(__xludf.DUMMYFUNCTION("""COMPUTED_VALUE"""),125.0)</f>
        <v>125</v>
      </c>
      <c r="G51" s="22">
        <f>IFERROR(__xludf.DUMMYFUNCTION("""COMPUTED_VALUE"""),115.0)</f>
        <v>115</v>
      </c>
    </row>
    <row r="52">
      <c r="A52" s="68" t="str">
        <f>IFERROR(__xludf.DUMMYFUNCTION("""COMPUTED_VALUE"""),"ББ-02П")</f>
        <v>ББ-02П</v>
      </c>
      <c r="B52" s="69" t="str">
        <f>IFERROR(__xludf.DUMMYFUNCTION("""COMPUTED_VALUE"""),"Багажная бирка на СЕРОЙ резинке, искусственная кожа с полноцветной печатью")</f>
        <v>Багажная бирка на СЕРОЙ резинке, искусственная кожа с полноцветной печатью</v>
      </c>
      <c r="C52" s="38">
        <f>IFERROR(__xludf.DUMMYFUNCTION("""COMPUTED_VALUE"""),160.0)</f>
        <v>160</v>
      </c>
      <c r="D52" s="38">
        <f>IFERROR(__xludf.DUMMYFUNCTION("""COMPUTED_VALUE"""),155.0)</f>
        <v>155</v>
      </c>
      <c r="E52" s="38">
        <f>IFERROR(__xludf.DUMMYFUNCTION("""COMPUTED_VALUE"""),150.0)</f>
        <v>150</v>
      </c>
      <c r="F52" s="38">
        <f>IFERROR(__xludf.DUMMYFUNCTION("""COMPUTED_VALUE"""),145.0)</f>
        <v>145</v>
      </c>
      <c r="G52" s="38">
        <f>IFERROR(__xludf.DUMMYFUNCTION("""COMPUTED_VALUE"""),135.0)</f>
        <v>135</v>
      </c>
    </row>
    <row r="53">
      <c r="A53" s="13" t="str">
        <f>IFERROR(__xludf.DUMMYFUNCTION("""COMPUTED_VALUE"""),"Футляр для очков")</f>
        <v>Футляр для очков</v>
      </c>
      <c r="B53" s="60" t="str">
        <f>IFERROR(__xludf.DUMMYFUNCTION("""COMPUTED_VALUE"""),"")</f>
        <v/>
      </c>
      <c r="C53" s="61" t="str">
        <f>IFERROR(__xludf.DUMMYFUNCTION("""COMPUTED_VALUE"""),"50 шт")</f>
        <v>50 шт</v>
      </c>
      <c r="D53" s="61" t="str">
        <f>IFERROR(__xludf.DUMMYFUNCTION("""COMPUTED_VALUE"""),"100 шт")</f>
        <v>100 шт</v>
      </c>
      <c r="E53" s="61" t="str">
        <f>IFERROR(__xludf.DUMMYFUNCTION("""COMPUTED_VALUE"""),"200 шт")</f>
        <v>200 шт</v>
      </c>
      <c r="F53" s="61" t="str">
        <f>IFERROR(__xludf.DUMMYFUNCTION("""COMPUTED_VALUE"""),"300 шт")</f>
        <v>300 шт</v>
      </c>
      <c r="G53" s="61" t="str">
        <f>IFERROR(__xludf.DUMMYFUNCTION("""COMPUTED_VALUE"""),"500 шт")</f>
        <v>500 шт</v>
      </c>
    </row>
    <row r="54">
      <c r="A54" s="10" t="str">
        <f>IFERROR(__xludf.DUMMYFUNCTION("""COMPUTED_VALUE"""),"ФО-1")</f>
        <v>ФО-1</v>
      </c>
      <c r="B54" s="20" t="str">
        <f>IFERROR(__xludf.DUMMYFUNCTION("""COMPUTED_VALUE"""),"Футляр для очков искусственная кожа с персонализацией")</f>
        <v>Футляр для очков искусственная кожа с персонализацией</v>
      </c>
      <c r="C54" s="22">
        <f>IFERROR(__xludf.DUMMYFUNCTION("""COMPUTED_VALUE"""),270.0)</f>
        <v>270</v>
      </c>
      <c r="D54" s="22">
        <f>IFERROR(__xludf.DUMMYFUNCTION("""COMPUTED_VALUE"""),250.0)</f>
        <v>250</v>
      </c>
      <c r="E54" s="22">
        <f>IFERROR(__xludf.DUMMYFUNCTION("""COMPUTED_VALUE"""),230.0)</f>
        <v>230</v>
      </c>
      <c r="F54" s="22">
        <f>IFERROR(__xludf.DUMMYFUNCTION("""COMPUTED_VALUE"""),215.0)</f>
        <v>215</v>
      </c>
      <c r="G54" s="22">
        <f>IFERROR(__xludf.DUMMYFUNCTION("""COMPUTED_VALUE"""),200.0)</f>
        <v>200</v>
      </c>
    </row>
    <row r="55">
      <c r="A55" s="68" t="str">
        <f>IFERROR(__xludf.DUMMYFUNCTION("""COMPUTED_VALUE"""),"ФО-1П")</f>
        <v>ФО-1П</v>
      </c>
      <c r="B55" s="69" t="str">
        <f>IFERROR(__xludf.DUMMYFUNCTION("""COMPUTED_VALUE"""),"Футляр для очков искусственная кожа с полноцветной печатью")</f>
        <v>Футляр для очков искусственная кожа с полноцветной печатью</v>
      </c>
      <c r="C55" s="38">
        <f>IFERROR(__xludf.DUMMYFUNCTION("""COMPUTED_VALUE"""),320.0)</f>
        <v>320</v>
      </c>
      <c r="D55" s="38">
        <f>IFERROR(__xludf.DUMMYFUNCTION("""COMPUTED_VALUE"""),300.0)</f>
        <v>300</v>
      </c>
      <c r="E55" s="38">
        <f>IFERROR(__xludf.DUMMYFUNCTION("""COMPUTED_VALUE"""),280.0)</f>
        <v>280</v>
      </c>
      <c r="F55" s="38">
        <f>IFERROR(__xludf.DUMMYFUNCTION("""COMPUTED_VALUE"""),265.0)</f>
        <v>265</v>
      </c>
      <c r="G55" s="38">
        <f>IFERROR(__xludf.DUMMYFUNCTION("""COMPUTED_VALUE"""),260.0)</f>
        <v>260</v>
      </c>
    </row>
    <row r="56">
      <c r="A56" s="13" t="str">
        <f>IFERROR(__xludf.DUMMYFUNCTION("""COMPUTED_VALUE"""),"Пенал для ручек")</f>
        <v>Пенал для ручек</v>
      </c>
      <c r="B56" s="60" t="str">
        <f>IFERROR(__xludf.DUMMYFUNCTION("""COMPUTED_VALUE"""),"")</f>
        <v/>
      </c>
      <c r="C56" s="61" t="str">
        <f>IFERROR(__xludf.DUMMYFUNCTION("""COMPUTED_VALUE"""),"50 шт")</f>
        <v>50 шт</v>
      </c>
      <c r="D56" s="61" t="str">
        <f>IFERROR(__xludf.DUMMYFUNCTION("""COMPUTED_VALUE"""),"100 шт")</f>
        <v>100 шт</v>
      </c>
      <c r="E56" s="61" t="str">
        <f>IFERROR(__xludf.DUMMYFUNCTION("""COMPUTED_VALUE"""),"200 шт")</f>
        <v>200 шт</v>
      </c>
      <c r="F56" s="61" t="str">
        <f>IFERROR(__xludf.DUMMYFUNCTION("""COMPUTED_VALUE"""),"300 шт")</f>
        <v>300 шт</v>
      </c>
      <c r="G56" s="61" t="str">
        <f>IFERROR(__xludf.DUMMYFUNCTION("""COMPUTED_VALUE"""),"500 шт")</f>
        <v>500 шт</v>
      </c>
    </row>
    <row r="57">
      <c r="A57" s="10" t="str">
        <f>IFERROR(__xludf.DUMMYFUNCTION("""COMPUTED_VALUE"""),"ПР-1")</f>
        <v>ПР-1</v>
      </c>
      <c r="B57" s="20" t="str">
        <f>IFERROR(__xludf.DUMMYFUNCTION("""COMPUTED_VALUE"""),"Пенал для ручек искусственная кожа с персонализацией")</f>
        <v>Пенал для ручек искусственная кожа с персонализацией</v>
      </c>
      <c r="C57" s="22">
        <f>IFERROR(__xludf.DUMMYFUNCTION("""COMPUTED_VALUE"""),255.0)</f>
        <v>255</v>
      </c>
      <c r="D57" s="22">
        <f>IFERROR(__xludf.DUMMYFUNCTION("""COMPUTED_VALUE"""),235.0)</f>
        <v>235</v>
      </c>
      <c r="E57" s="22">
        <f>IFERROR(__xludf.DUMMYFUNCTION("""COMPUTED_VALUE"""),215.0)</f>
        <v>215</v>
      </c>
      <c r="F57" s="22">
        <f>IFERROR(__xludf.DUMMYFUNCTION("""COMPUTED_VALUE"""),195.0)</f>
        <v>195</v>
      </c>
      <c r="G57" s="22">
        <f>IFERROR(__xludf.DUMMYFUNCTION("""COMPUTED_VALUE"""),185.0)</f>
        <v>185</v>
      </c>
    </row>
    <row r="58">
      <c r="A58" s="45" t="str">
        <f>IFERROR(__xludf.DUMMYFUNCTION("""COMPUTED_VALUE"""),"ПР-1П")</f>
        <v>ПР-1П</v>
      </c>
      <c r="B58" s="47" t="str">
        <f>IFERROR(__xludf.DUMMYFUNCTION("""COMPUTED_VALUE"""),"Пенал для ручек искусственная кожа с полноцветной печатью")</f>
        <v>Пенал для ручек искусственная кожа с полноцветной печатью</v>
      </c>
      <c r="C58" s="49">
        <f>IFERROR(__xludf.DUMMYFUNCTION("""COMPUTED_VALUE"""),305.0)</f>
        <v>305</v>
      </c>
      <c r="D58" s="49">
        <f>IFERROR(__xludf.DUMMYFUNCTION("""COMPUTED_VALUE"""),285.0)</f>
        <v>285</v>
      </c>
      <c r="E58" s="49">
        <f>IFERROR(__xludf.DUMMYFUNCTION("""COMPUTED_VALUE"""),270.0)</f>
        <v>270</v>
      </c>
      <c r="F58" s="49">
        <f>IFERROR(__xludf.DUMMYFUNCTION("""COMPUTED_VALUE"""),255.0)</f>
        <v>255</v>
      </c>
      <c r="G58" s="49">
        <f>IFERROR(__xludf.DUMMYFUNCTION("""COMPUTED_VALUE"""),240.0)</f>
        <v>240</v>
      </c>
    </row>
    <row r="59">
      <c r="A59" s="6" t="str">
        <f>IFERROR(__xludf.DUMMYFUNCTION("""COMPUTED_VALUE"""),"ФУТЛЯР ДЛЯ СТИКЕРОВ")</f>
        <v>ФУТЛЯР ДЛЯ СТИКЕРОВ</v>
      </c>
      <c r="B59" s="42" t="str">
        <f>IFERROR(__xludf.DUMMYFUNCTION("""COMPUTED_VALUE"""),"")</f>
        <v/>
      </c>
      <c r="C59" s="43" t="str">
        <f>IFERROR(__xludf.DUMMYFUNCTION("""COMPUTED_VALUE"""),"50 шт")</f>
        <v>50 шт</v>
      </c>
      <c r="D59" s="43" t="str">
        <f>IFERROR(__xludf.DUMMYFUNCTION("""COMPUTED_VALUE"""),"100 шт")</f>
        <v>100 шт</v>
      </c>
      <c r="E59" s="43" t="str">
        <f>IFERROR(__xludf.DUMMYFUNCTION("""COMPUTED_VALUE"""),"200 шт")</f>
        <v>200 шт</v>
      </c>
      <c r="F59" s="43" t="str">
        <f>IFERROR(__xludf.DUMMYFUNCTION("""COMPUTED_VALUE"""),"300 шт")</f>
        <v>300 шт</v>
      </c>
      <c r="G59" s="43" t="str">
        <f>IFERROR(__xludf.DUMMYFUNCTION("""COMPUTED_VALUE"""),"500 шт")</f>
        <v>500 шт</v>
      </c>
    </row>
    <row r="60">
      <c r="A60" s="10" t="str">
        <f>IFERROR(__xludf.DUMMYFUNCTION("""COMPUTED_VALUE"""),"ФС-1")</f>
        <v>ФС-1</v>
      </c>
      <c r="B60" s="20" t="str">
        <f>IFERROR(__xludf.DUMMYFUNCTION("""COMPUTED_VALUE"""),"Футляр для стикеров искусственная кожа с персонализацией")</f>
        <v>Футляр для стикеров искусственная кожа с персонализацией</v>
      </c>
      <c r="C60" s="22">
        <f>IFERROR(__xludf.DUMMYFUNCTION("""COMPUTED_VALUE"""),250.0)</f>
        <v>250</v>
      </c>
      <c r="D60" s="22">
        <f>IFERROR(__xludf.DUMMYFUNCTION("""COMPUTED_VALUE"""),230.0)</f>
        <v>230</v>
      </c>
      <c r="E60" s="22">
        <f>IFERROR(__xludf.DUMMYFUNCTION("""COMPUTED_VALUE"""),210.0)</f>
        <v>210</v>
      </c>
      <c r="F60" s="22">
        <f>IFERROR(__xludf.DUMMYFUNCTION("""COMPUTED_VALUE"""),195.0)</f>
        <v>195</v>
      </c>
      <c r="G60" s="22">
        <f>IFERROR(__xludf.DUMMYFUNCTION("""COMPUTED_VALUE"""),180.0)</f>
        <v>180</v>
      </c>
    </row>
    <row r="61">
      <c r="A61" s="68" t="str">
        <f>IFERROR(__xludf.DUMMYFUNCTION("""COMPUTED_VALUE"""),"ФС-1П")</f>
        <v>ФС-1П</v>
      </c>
      <c r="B61" s="69" t="str">
        <f>IFERROR(__xludf.DUMMYFUNCTION("""COMPUTED_VALUE"""),"Футляр для стикеров искусственная кожа с полноцветной печатью")</f>
        <v>Футляр для стикеров искусственная кожа с полноцветной печатью</v>
      </c>
      <c r="C61" s="49">
        <f>IFERROR(__xludf.DUMMYFUNCTION("""COMPUTED_VALUE"""),280.0)</f>
        <v>280</v>
      </c>
      <c r="D61" s="49">
        <f>IFERROR(__xludf.DUMMYFUNCTION("""COMPUTED_VALUE"""),260.0)</f>
        <v>260</v>
      </c>
      <c r="E61" s="49">
        <f>IFERROR(__xludf.DUMMYFUNCTION("""COMPUTED_VALUE"""),240.0)</f>
        <v>240</v>
      </c>
      <c r="F61" s="49">
        <f>IFERROR(__xludf.DUMMYFUNCTION("""COMPUTED_VALUE"""),225.0)</f>
        <v>225</v>
      </c>
      <c r="G61" s="49">
        <f>IFERROR(__xludf.DUMMYFUNCTION("""COMPUTED_VALUE"""),210.0)</f>
        <v>210</v>
      </c>
    </row>
    <row r="62">
      <c r="A62" s="6" t="str">
        <f>IFERROR(__xludf.DUMMYFUNCTION("""COMPUTED_VALUE"""),"БЛОКНОТ-ПЛАНШЕТ С ОБЛОЖКОЙ")</f>
        <v>БЛОКНОТ-ПЛАНШЕТ С ОБЛОЖКОЙ</v>
      </c>
      <c r="B62" s="42" t="str">
        <f>IFERROR(__xludf.DUMMYFUNCTION("""COMPUTED_VALUE"""),"")</f>
        <v/>
      </c>
      <c r="C62" s="43" t="str">
        <f>IFERROR(__xludf.DUMMYFUNCTION("""COMPUTED_VALUE"""),"50 шт")</f>
        <v>50 шт</v>
      </c>
      <c r="D62" s="43" t="str">
        <f>IFERROR(__xludf.DUMMYFUNCTION("""COMPUTED_VALUE"""),"100 шт")</f>
        <v>100 шт</v>
      </c>
      <c r="E62" s="43" t="str">
        <f>IFERROR(__xludf.DUMMYFUNCTION("""COMPUTED_VALUE"""),"200 шт")</f>
        <v>200 шт</v>
      </c>
      <c r="F62" s="43" t="str">
        <f>IFERROR(__xludf.DUMMYFUNCTION("""COMPUTED_VALUE"""),"300 шт")</f>
        <v>300 шт</v>
      </c>
      <c r="G62" s="43" t="str">
        <f>IFERROR(__xludf.DUMMYFUNCTION("""COMPUTED_VALUE"""),"500 шт")</f>
        <v>500 шт</v>
      </c>
    </row>
    <row r="63">
      <c r="A63" s="45" t="str">
        <f>IFERROR(__xludf.DUMMYFUNCTION("""COMPUTED_VALUE"""),"БПА6-01")</f>
        <v>БПА6-01</v>
      </c>
      <c r="B63" s="47" t="str">
        <f>IFERROR(__xludf.DUMMYFUNCTION("""COMPUTED_VALUE"""),"Блокнот-планшет А6 с обложкой искусственная кожа, персонализация, 50 листов")</f>
        <v>Блокнот-планшет А6 с обложкой искусственная кожа, персонализация, 50 листов</v>
      </c>
      <c r="C63" s="49">
        <f>IFERROR(__xludf.DUMMYFUNCTION("""COMPUTED_VALUE"""),530.0)</f>
        <v>530</v>
      </c>
      <c r="D63" s="49">
        <f>IFERROR(__xludf.DUMMYFUNCTION("""COMPUTED_VALUE"""),480.0)</f>
        <v>480</v>
      </c>
      <c r="E63" s="49">
        <f>IFERROR(__xludf.DUMMYFUNCTION("""COMPUTED_VALUE"""),430.0)</f>
        <v>430</v>
      </c>
      <c r="F63" s="49">
        <f>IFERROR(__xludf.DUMMYFUNCTION("""COMPUTED_VALUE"""),380.0)</f>
        <v>380</v>
      </c>
      <c r="G63" s="49">
        <f>IFERROR(__xludf.DUMMYFUNCTION("""COMPUTED_VALUE"""),330.0)</f>
        <v>330</v>
      </c>
    </row>
    <row r="64">
      <c r="A64" s="10" t="str">
        <f>IFERROR(__xludf.DUMMYFUNCTION("""COMPUTED_VALUE"""),"БПА6-01П")</f>
        <v>БПА6-01П</v>
      </c>
      <c r="B64" s="20" t="str">
        <f>IFERROR(__xludf.DUMMYFUNCTION("""COMPUTED_VALUE"""),"Блокнот-планшет А6 с обложкой искусственная кожа, полноцветная печать, 50 листов")</f>
        <v>Блокнот-планшет А6 с обложкой искусственная кожа, полноцветная печать, 50 листов</v>
      </c>
      <c r="C64" s="22">
        <f>IFERROR(__xludf.DUMMYFUNCTION("""COMPUTED_VALUE"""),590.0)</f>
        <v>590</v>
      </c>
      <c r="D64" s="22">
        <f>IFERROR(__xludf.DUMMYFUNCTION("""COMPUTED_VALUE"""),540.0)</f>
        <v>540</v>
      </c>
      <c r="E64" s="22">
        <f>IFERROR(__xludf.DUMMYFUNCTION("""COMPUTED_VALUE"""),490.0)</f>
        <v>490</v>
      </c>
      <c r="F64" s="22">
        <f>IFERROR(__xludf.DUMMYFUNCTION("""COMPUTED_VALUE"""),440.0)</f>
        <v>440</v>
      </c>
      <c r="G64" s="22">
        <f>IFERROR(__xludf.DUMMYFUNCTION("""COMPUTED_VALUE"""),390.0)</f>
        <v>390</v>
      </c>
    </row>
    <row r="65">
      <c r="A65" s="10" t="str">
        <f>IFERROR(__xludf.DUMMYFUNCTION("""COMPUTED_VALUE"""),"БПА4-02")</f>
        <v>БПА4-02</v>
      </c>
      <c r="B65" s="20" t="str">
        <f>IFERROR(__xludf.DUMMYFUNCTION("""COMPUTED_VALUE"""),"Блокнот-планшет А4 с обложкой искусственная кожа, персонализация, 50 листов")</f>
        <v>Блокнот-планшет А4 с обложкой искусственная кожа, персонализация, 50 листов</v>
      </c>
      <c r="C65" s="22">
        <f>IFERROR(__xludf.DUMMYFUNCTION("""COMPUTED_VALUE"""),800.0)</f>
        <v>800</v>
      </c>
      <c r="D65" s="22">
        <f>IFERROR(__xludf.DUMMYFUNCTION("""COMPUTED_VALUE"""),750.0)</f>
        <v>750</v>
      </c>
      <c r="E65" s="22">
        <f>IFERROR(__xludf.DUMMYFUNCTION("""COMPUTED_VALUE"""),700.0)</f>
        <v>700</v>
      </c>
      <c r="F65" s="22">
        <f>IFERROR(__xludf.DUMMYFUNCTION("""COMPUTED_VALUE"""),650.0)</f>
        <v>650</v>
      </c>
      <c r="G65" s="22">
        <f>IFERROR(__xludf.DUMMYFUNCTION("""COMPUTED_VALUE"""),600.0)</f>
        <v>600</v>
      </c>
    </row>
    <row r="66">
      <c r="A66" s="45" t="str">
        <f>IFERROR(__xludf.DUMMYFUNCTION("""COMPUTED_VALUE"""),"БПА4-02П")</f>
        <v>БПА4-02П</v>
      </c>
      <c r="B66" s="47" t="str">
        <f>IFERROR(__xludf.DUMMYFUNCTION("""COMPUTED_VALUE"""),"Блокнот-планшет А4 с обложкой искусственная кожа, полноцветная печать, 50 листов")</f>
        <v>Блокнот-планшет А4 с обложкой искусственная кожа, полноцветная печать, 50 листов</v>
      </c>
      <c r="C66" s="49">
        <f>IFERROR(__xludf.DUMMYFUNCTION("""COMPUTED_VALUE"""),900.0)</f>
        <v>900</v>
      </c>
      <c r="D66" s="49">
        <f>IFERROR(__xludf.DUMMYFUNCTION("""COMPUTED_VALUE"""),850.0)</f>
        <v>850</v>
      </c>
      <c r="E66" s="49">
        <f>IFERROR(__xludf.DUMMYFUNCTION("""COMPUTED_VALUE"""),800.0)</f>
        <v>800</v>
      </c>
      <c r="F66" s="49">
        <f>IFERROR(__xludf.DUMMYFUNCTION("""COMPUTED_VALUE"""),750.0)</f>
        <v>750</v>
      </c>
      <c r="G66" s="49">
        <f>IFERROR(__xludf.DUMMYFUNCTION("""COMPUTED_VALUE"""),700.0)</f>
        <v>700</v>
      </c>
    </row>
    <row r="67">
      <c r="A67" s="73" t="str">
        <f>IFERROR(__xludf.DUMMYFUNCTION("""COMPUTED_VALUE"""),"НАСТОЛЬНЫЕ МАТЫ (БЮВАРЫ)")</f>
        <v>НАСТОЛЬНЫЕ МАТЫ (БЮВАРЫ)</v>
      </c>
      <c r="B67" s="74" t="str">
        <f>IFERROR(__xludf.DUMMYFUNCTION("""COMPUTED_VALUE"""),"")</f>
        <v/>
      </c>
      <c r="C67" s="30" t="str">
        <f>IFERROR(__xludf.DUMMYFUNCTION("""COMPUTED_VALUE"""),"50 шт")</f>
        <v>50 шт</v>
      </c>
      <c r="D67" s="30" t="str">
        <f>IFERROR(__xludf.DUMMYFUNCTION("""COMPUTED_VALUE"""),"100 шт")</f>
        <v>100 шт</v>
      </c>
      <c r="E67" s="30" t="str">
        <f>IFERROR(__xludf.DUMMYFUNCTION("""COMPUTED_VALUE"""),"200 шт")</f>
        <v>200 шт</v>
      </c>
      <c r="F67" s="30" t="str">
        <f>IFERROR(__xludf.DUMMYFUNCTION("""COMPUTED_VALUE"""),"300 шт")</f>
        <v>300 шт</v>
      </c>
      <c r="G67" s="30" t="str">
        <f>IFERROR(__xludf.DUMMYFUNCTION("""COMPUTED_VALUE"""),"500 шт")</f>
        <v>500 шт</v>
      </c>
    </row>
    <row r="68">
      <c r="A68" s="75" t="str">
        <f>IFERROR(__xludf.DUMMYFUNCTION("""COMPUTED_VALUE"""),"НМ-1")</f>
        <v>НМ-1</v>
      </c>
      <c r="B68" s="76" t="str">
        <f>IFERROR(__xludf.DUMMYFUNCTION("""COMPUTED_VALUE"""),"Настольный мат (Бювар), искусственная кожа с персонализацией, антискользящая подложка, 450х305 мм")</f>
        <v>Настольный мат (Бювар), искусственная кожа с персонализацией, антискользящая подложка, 450х305 мм</v>
      </c>
      <c r="C68" s="34">
        <f>IFERROR(__xludf.DUMMYFUNCTION("""COMPUTED_VALUE"""),850.0)</f>
        <v>850</v>
      </c>
      <c r="D68" s="77">
        <f>IFERROR(__xludf.DUMMYFUNCTION("""COMPUTED_VALUE"""),800.0)</f>
        <v>800</v>
      </c>
      <c r="E68" s="77">
        <f>IFERROR(__xludf.DUMMYFUNCTION("""COMPUTED_VALUE"""),750.0)</f>
        <v>750</v>
      </c>
      <c r="F68" s="77">
        <f>IFERROR(__xludf.DUMMYFUNCTION("""COMPUTED_VALUE"""),700.0)</f>
        <v>700</v>
      </c>
      <c r="G68" s="77">
        <f>IFERROR(__xludf.DUMMYFUNCTION("""COMPUTED_VALUE"""),650.0)</f>
        <v>650</v>
      </c>
    </row>
    <row r="69">
      <c r="A69" s="78" t="str">
        <f>IFERROR(__xludf.DUMMYFUNCTION("""COMPUTED_VALUE"""),"НМ-1П")</f>
        <v>НМ-1П</v>
      </c>
      <c r="B69" s="79" t="str">
        <f>IFERROR(__xludf.DUMMYFUNCTION("""COMPUTED_VALUE"""),"Настольный мат (Бювар), искусственная кожа  с полноцветной печатью, антискользящая подложка, 450х305 мм")</f>
        <v>Настольный мат (Бювар), искусственная кожа  с полноцветной печатью, антискользящая подложка, 450х305 мм</v>
      </c>
      <c r="C69" s="77">
        <f>IFERROR(__xludf.DUMMYFUNCTION("""COMPUTED_VALUE"""),950.0)</f>
        <v>950</v>
      </c>
      <c r="D69" s="77">
        <f>IFERROR(__xludf.DUMMYFUNCTION("""COMPUTED_VALUE"""),900.0)</f>
        <v>900</v>
      </c>
      <c r="E69" s="77">
        <f>IFERROR(__xludf.DUMMYFUNCTION("""COMPUTED_VALUE"""),850.0)</f>
        <v>850</v>
      </c>
      <c r="F69" s="77">
        <f>IFERROR(__xludf.DUMMYFUNCTION("""COMPUTED_VALUE"""),800.0)</f>
        <v>800</v>
      </c>
      <c r="G69" s="77">
        <f>IFERROR(__xludf.DUMMYFUNCTION("""COMPUTED_VALUE"""),750.0)</f>
        <v>750</v>
      </c>
    </row>
    <row r="70">
      <c r="A70" s="81" t="str">
        <f>IFERROR(__xludf.DUMMYFUNCTION("""COMPUTED_VALUE"""),"НКМ-1")</f>
        <v>НКМ-1</v>
      </c>
      <c r="B70" s="76" t="str">
        <f>IFERROR(__xludf.DUMMYFUNCTION("""COMPUTED_VALUE"""),"Коврик для мыши, искусственная кожа с персонализацией, антискользящая подложка, 220х305 мм")</f>
        <v>Коврик для мыши, искусственная кожа с персонализацией, антискользящая подложка, 220х305 мм</v>
      </c>
      <c r="C70" s="34">
        <f>IFERROR(__xludf.DUMMYFUNCTION("""COMPUTED_VALUE"""),350.0)</f>
        <v>350</v>
      </c>
      <c r="D70" s="34">
        <f>IFERROR(__xludf.DUMMYFUNCTION("""COMPUTED_VALUE"""),325.0)</f>
        <v>325</v>
      </c>
      <c r="E70" s="34">
        <f>IFERROR(__xludf.DUMMYFUNCTION("""COMPUTED_VALUE"""),300.0)</f>
        <v>300</v>
      </c>
      <c r="F70" s="34">
        <f>IFERROR(__xludf.DUMMYFUNCTION("""COMPUTED_VALUE"""),275.0)</f>
        <v>275</v>
      </c>
      <c r="G70" s="34">
        <f>IFERROR(__xludf.DUMMYFUNCTION("""COMPUTED_VALUE"""),250.0)</f>
        <v>250</v>
      </c>
    </row>
    <row r="71">
      <c r="A71" s="75" t="str">
        <f>IFERROR(__xludf.DUMMYFUNCTION("""COMPUTED_VALUE"""),"НКМ-1П")</f>
        <v>НКМ-1П</v>
      </c>
      <c r="B71" s="76" t="str">
        <f>IFERROR(__xludf.DUMMYFUNCTION("""COMPUTED_VALUE"""),"Коврик для мыши, искусственная кожа с полноцветной печатью, антискользящая подложка, 220х305 мм")</f>
        <v>Коврик для мыши, искусственная кожа с полноцветной печатью, антискользящая подложка, 220х305 мм</v>
      </c>
      <c r="C71" s="34">
        <f>IFERROR(__xludf.DUMMYFUNCTION("""COMPUTED_VALUE"""),400.0)</f>
        <v>400</v>
      </c>
      <c r="D71" s="34">
        <f>IFERROR(__xludf.DUMMYFUNCTION("""COMPUTED_VALUE"""),375.0)</f>
        <v>375</v>
      </c>
      <c r="E71" s="34">
        <f>IFERROR(__xludf.DUMMYFUNCTION("""COMPUTED_VALUE"""),350.0)</f>
        <v>350</v>
      </c>
      <c r="F71" s="34">
        <f>IFERROR(__xludf.DUMMYFUNCTION("""COMPUTED_VALUE"""),325.0)</f>
        <v>325</v>
      </c>
      <c r="G71" s="34">
        <f>IFERROR(__xludf.DUMMYFUNCTION("""COMPUTED_VALUE"""),300.0)</f>
        <v>300</v>
      </c>
    </row>
    <row r="72">
      <c r="A72" s="83" t="str">
        <f>IFERROR(__xludf.DUMMYFUNCTION("""COMPUTED_VALUE"""),"НМ-2")</f>
        <v>НМ-2</v>
      </c>
      <c r="B72" s="76" t="str">
        <f>IFERROR(__xludf.DUMMYFUNCTION("""COMPUTED_VALUE"""),"Настольный мат (Бювар), искусственная кожа с персонализацией, антискользящая подложка, 650х350 мм")</f>
        <v>Настольный мат (Бювар), искусственная кожа с персонализацией, антискользящая подложка, 650х350 мм</v>
      </c>
      <c r="C72" s="34">
        <f>IFERROR(__xludf.DUMMYFUNCTION("""COMPUTED_VALUE"""),1400.0)</f>
        <v>1400</v>
      </c>
      <c r="D72" s="34">
        <f>IFERROR(__xludf.DUMMYFUNCTION("""COMPUTED_VALUE"""),1300.0)</f>
        <v>1300</v>
      </c>
      <c r="E72" s="34">
        <f>IFERROR(__xludf.DUMMYFUNCTION("""COMPUTED_VALUE"""),1200.0)</f>
        <v>1200</v>
      </c>
      <c r="F72" s="34">
        <f>IFERROR(__xludf.DUMMYFUNCTION("""COMPUTED_VALUE"""),1100.0)</f>
        <v>1100</v>
      </c>
      <c r="G72" s="34">
        <f>IFERROR(__xludf.DUMMYFUNCTION("""COMPUTED_VALUE"""),1000.0)</f>
        <v>1000</v>
      </c>
    </row>
    <row r="73">
      <c r="A73" s="75" t="str">
        <f>IFERROR(__xludf.DUMMYFUNCTION("""COMPUTED_VALUE"""),"НМ-2П")</f>
        <v>НМ-2П</v>
      </c>
      <c r="B73" s="76" t="str">
        <f>IFERROR(__xludf.DUMMYFUNCTION("""COMPUTED_VALUE"""),"Настольный мат (Бювар), искусственная кожа с полноцветной печатью, антискользящая подложка, 650х350 мм")</f>
        <v>Настольный мат (Бювар), искусственная кожа с полноцветной печатью, антискользящая подложка, 650х350 мм</v>
      </c>
      <c r="C73" s="34">
        <f>IFERROR(__xludf.DUMMYFUNCTION("""COMPUTED_VALUE"""),1600.0)</f>
        <v>1600</v>
      </c>
      <c r="D73" s="84">
        <f>IFERROR(__xludf.DUMMYFUNCTION("""COMPUTED_VALUE"""),1500.0)</f>
        <v>1500</v>
      </c>
      <c r="E73" s="84">
        <f>IFERROR(__xludf.DUMMYFUNCTION("""COMPUTED_VALUE"""),1400.0)</f>
        <v>1400</v>
      </c>
      <c r="F73" s="84">
        <f>IFERROR(__xludf.DUMMYFUNCTION("""COMPUTED_VALUE"""),1300.0)</f>
        <v>1300</v>
      </c>
      <c r="G73" s="84">
        <f>IFERROR(__xludf.DUMMYFUNCTION("""COMPUTED_VALUE"""),1200.0)</f>
        <v>1200</v>
      </c>
    </row>
    <row r="74">
      <c r="A74" s="85" t="str">
        <f>IFERROR(__xludf.DUMMYFUNCTION("""COMPUTED_VALUE"""),"Футляр для ручки")</f>
        <v>Футляр для ручки</v>
      </c>
      <c r="B74" s="86" t="str">
        <f>IFERROR(__xludf.DUMMYFUNCTION("""COMPUTED_VALUE"""),"")</f>
        <v/>
      </c>
      <c r="C74" s="87" t="str">
        <f>IFERROR(__xludf.DUMMYFUNCTION("""COMPUTED_VALUE"""),"50 шт")</f>
        <v>50 шт</v>
      </c>
      <c r="D74" s="87" t="str">
        <f>IFERROR(__xludf.DUMMYFUNCTION("""COMPUTED_VALUE"""),"100 шт")</f>
        <v>100 шт</v>
      </c>
      <c r="E74" s="87" t="str">
        <f>IFERROR(__xludf.DUMMYFUNCTION("""COMPUTED_VALUE"""),"200 шт")</f>
        <v>200 шт</v>
      </c>
      <c r="F74" s="87" t="str">
        <f>IFERROR(__xludf.DUMMYFUNCTION("""COMPUTED_VALUE"""),"300 шт")</f>
        <v>300 шт</v>
      </c>
      <c r="G74" s="87" t="str">
        <f>IFERROR(__xludf.DUMMYFUNCTION("""COMPUTED_VALUE"""),"500 шт")</f>
        <v>500 шт</v>
      </c>
    </row>
    <row r="75">
      <c r="A75" s="88" t="str">
        <f>IFERROR(__xludf.DUMMYFUNCTION("""COMPUTED_VALUE"""),"ФР-1")</f>
        <v>ФР-1</v>
      </c>
      <c r="B75" s="47" t="str">
        <f>IFERROR(__xludf.DUMMYFUNCTION("""COMPUTED_VALUE"""),"Футляр для ручки, искусственная кожа с персонализацией, 144х30 мм")</f>
        <v>Футляр для ручки, искусственная кожа с персонализацией, 144х30 мм</v>
      </c>
      <c r="C75" s="49">
        <f>IFERROR(__xludf.DUMMYFUNCTION("""COMPUTED_VALUE"""),90.0)</f>
        <v>90</v>
      </c>
      <c r="D75" s="49">
        <f>IFERROR(__xludf.DUMMYFUNCTION("""COMPUTED_VALUE"""),85.0)</f>
        <v>85</v>
      </c>
      <c r="E75" s="49">
        <f>IFERROR(__xludf.DUMMYFUNCTION("""COMPUTED_VALUE"""),80.0)</f>
        <v>80</v>
      </c>
      <c r="F75" s="49">
        <f>IFERROR(__xludf.DUMMYFUNCTION("""COMPUTED_VALUE"""),75.0)</f>
        <v>75</v>
      </c>
      <c r="G75" s="49">
        <f>IFERROR(__xludf.DUMMYFUNCTION("""COMPUTED_VALUE"""),70.0)</f>
        <v>70</v>
      </c>
    </row>
    <row r="76">
      <c r="A76" s="10" t="str">
        <f>IFERROR(__xludf.DUMMYFUNCTION("""COMPUTED_VALUE"""),"ФР-1П")</f>
        <v>ФР-1П</v>
      </c>
      <c r="B76" s="20" t="str">
        <f>IFERROR(__xludf.DUMMYFUNCTION("""COMPUTED_VALUE"""),"Футляр для ручки, искусственная кожа с полноцветной печатью, 144х30 мм")</f>
        <v>Футляр для ручки, искусственная кожа с полноцветной печатью, 144х30 мм</v>
      </c>
      <c r="C76" s="22">
        <f>IFERROR(__xludf.DUMMYFUNCTION("""COMPUTED_VALUE"""),120.0)</f>
        <v>120</v>
      </c>
      <c r="D76" s="22">
        <f>IFERROR(__xludf.DUMMYFUNCTION("""COMPUTED_VALUE"""),115.0)</f>
        <v>115</v>
      </c>
      <c r="E76" s="22">
        <f>IFERROR(__xludf.DUMMYFUNCTION("""COMPUTED_VALUE"""),110.0)</f>
        <v>110</v>
      </c>
      <c r="F76" s="22">
        <f>IFERROR(__xludf.DUMMYFUNCTION("""COMPUTED_VALUE"""),105.0)</f>
        <v>105</v>
      </c>
      <c r="G76" s="22">
        <f>IFERROR(__xludf.DUMMYFUNCTION("""COMPUTED_VALUE"""),95.0)</f>
        <v>95</v>
      </c>
    </row>
    <row r="77">
      <c r="A77" s="89" t="str">
        <f>IFERROR(__xludf.DUMMYFUNCTION("""COMPUTED_VALUE"""),"Штамп ")</f>
        <v>Штамп </v>
      </c>
      <c r="B77" s="90" t="str">
        <f>IFERROR(__xludf.DUMMYFUNCTION("""COMPUTED_VALUE"""),"Штамп для тиснения ")</f>
        <v>Штамп для тиснения </v>
      </c>
      <c r="C77" s="91">
        <f>IFERROR(__xludf.DUMMYFUNCTION("""COMPUTED_VALUE"""),7000.0)</f>
        <v>7000</v>
      </c>
      <c r="D77" s="91" t="str">
        <f>IFERROR(__xludf.DUMMYFUNCTION("""COMPUTED_VALUE"""),"")</f>
        <v/>
      </c>
      <c r="E77" s="91" t="str">
        <f>IFERROR(__xludf.DUMMYFUNCTION("""COMPUTED_VALUE"""),"")</f>
        <v/>
      </c>
      <c r="F77" s="91" t="str">
        <f>IFERROR(__xludf.DUMMYFUNCTION("""COMPUTED_VALUE"""),"")</f>
        <v/>
      </c>
      <c r="G77" s="91" t="str">
        <f>IFERROR(__xludf.DUMMYFUNCTION("""COMPUTED_VALUE"""),"")</f>
        <v/>
      </c>
    </row>
    <row r="78">
      <c r="A78" s="28"/>
      <c r="B78" s="39"/>
      <c r="C78" s="40"/>
      <c r="D78" s="40"/>
      <c r="E78" s="40"/>
      <c r="F78" s="40"/>
      <c r="G78" s="40"/>
    </row>
    <row r="79">
      <c r="A79" s="28"/>
      <c r="B79" s="39"/>
      <c r="C79" s="40"/>
      <c r="D79" s="40"/>
      <c r="E79" s="40"/>
      <c r="F79" s="40"/>
      <c r="G79" s="40"/>
    </row>
    <row r="80">
      <c r="A80" s="92" t="str">
        <f>IFERROR(__xludf.DUMMYFUNCTION("IMPORTRANGE(""1HkzfTg_x2lNlvG_oAmvAnugODRXnepM3bnsrF1TbIKU"", ""Чехлы и футляры экокожа!A8:g49"")"),"                                                                    Чехлы вертикальные для пластиковых карт с тиснением, ПУ кожа")</f>
        <v>                                                                    Чехлы вертикальные для пластиковых карт с тиснением, ПУ кожа</v>
      </c>
      <c r="B80" s="93" t="str">
        <f>IFERROR(__xludf.DUMMYFUNCTION("""COMPUTED_VALUE"""),"")</f>
        <v/>
      </c>
      <c r="C80" s="11" t="str">
        <f>IFERROR(__xludf.DUMMYFUNCTION("""COMPUTED_VALUE"""),"")</f>
        <v/>
      </c>
      <c r="D80" s="11" t="str">
        <f>IFERROR(__xludf.DUMMYFUNCTION("""COMPUTED_VALUE"""),"")</f>
        <v/>
      </c>
      <c r="E80" s="11" t="str">
        <f>IFERROR(__xludf.DUMMYFUNCTION("""COMPUTED_VALUE"""),"")</f>
        <v/>
      </c>
      <c r="F80" s="11" t="str">
        <f>IFERROR(__xludf.DUMMYFUNCTION("""COMPUTED_VALUE"""),"")</f>
        <v/>
      </c>
      <c r="G80" s="11" t="str">
        <f>IFERROR(__xludf.DUMMYFUNCTION("""COMPUTED_VALUE"""),"")</f>
        <v/>
      </c>
    </row>
    <row r="81">
      <c r="A81" s="6" t="str">
        <f>IFERROR(__xludf.DUMMYFUNCTION("""COMPUTED_VALUE"""),"")</f>
        <v/>
      </c>
      <c r="B81" s="42" t="str">
        <f>IFERROR(__xludf.DUMMYFUNCTION("""COMPUTED_VALUE"""),"")</f>
        <v/>
      </c>
      <c r="C81" s="43" t="str">
        <f>IFERROR(__xludf.DUMMYFUNCTION("""COMPUTED_VALUE"""),"100 шт")</f>
        <v>100 шт</v>
      </c>
      <c r="D81" s="43" t="str">
        <f>IFERROR(__xludf.DUMMYFUNCTION("""COMPUTED_VALUE"""),"200 шт")</f>
        <v>200 шт</v>
      </c>
      <c r="E81" s="43" t="str">
        <f>IFERROR(__xludf.DUMMYFUNCTION("""COMPUTED_VALUE"""),"300 шт")</f>
        <v>300 шт</v>
      </c>
      <c r="F81" s="43" t="str">
        <f>IFERROR(__xludf.DUMMYFUNCTION("""COMPUTED_VALUE"""),"500 шт")</f>
        <v>500 шт</v>
      </c>
      <c r="G81" s="43" t="str">
        <f>IFERROR(__xludf.DUMMYFUNCTION("""COMPUTED_VALUE"""),"1000 шт")</f>
        <v>1000 шт</v>
      </c>
    </row>
    <row r="82">
      <c r="A82" s="10" t="str">
        <f>IFERROR(__xludf.DUMMYFUNCTION("""COMPUTED_VALUE"""),"POL - 1EF")</f>
        <v>POL - 1EF</v>
      </c>
      <c r="B82" s="20" t="str">
        <f>IFERROR(__xludf.DUMMYFUNCTION("""COMPUTED_VALUE"""),"Чехол вертикальный для пластиковой карты 86х54 мм, Экокожа с  Флок подложкой и персонализацией")</f>
        <v>Чехол вертикальный для пластиковой карты 86х54 мм, Экокожа с  Флок подложкой и персонализацией</v>
      </c>
      <c r="C82" s="22" t="str">
        <f>IFERROR(__xludf.DUMMYFUNCTION("""COMPUTED_VALUE"""),"80 ")</f>
        <v>80 </v>
      </c>
      <c r="D82" s="22">
        <f>IFERROR(__xludf.DUMMYFUNCTION("""COMPUTED_VALUE"""),75.0)</f>
        <v>75</v>
      </c>
      <c r="E82" s="22">
        <f>IFERROR(__xludf.DUMMYFUNCTION("""COMPUTED_VALUE"""),70.0)</f>
        <v>70</v>
      </c>
      <c r="F82" s="22">
        <f>IFERROR(__xludf.DUMMYFUNCTION("""COMPUTED_VALUE"""),65.0)</f>
        <v>65</v>
      </c>
      <c r="G82" s="22" t="str">
        <f>IFERROR(__xludf.DUMMYFUNCTION("""COMPUTED_VALUE"""),"60 ")</f>
        <v>60 </v>
      </c>
    </row>
    <row r="83">
      <c r="A83" s="10" t="str">
        <f>IFERROR(__xludf.DUMMYFUNCTION("""COMPUTED_VALUE"""),"POL- 2EF")</f>
        <v>POL- 2EF</v>
      </c>
      <c r="B83" s="20" t="str">
        <f>IFERROR(__xludf.DUMMYFUNCTION("""COMPUTED_VALUE"""),"Чехол вертикальный с дополнительным карманом для пластиковых карт 86х54 мм, Экокожа с Флок подложкой и персонализацией")</f>
        <v>Чехол вертикальный с дополнительным карманом для пластиковых карт 86х54 мм, Экокожа с Флок подложкой и персонализацией</v>
      </c>
      <c r="C83" s="22">
        <f>IFERROR(__xludf.DUMMYFUNCTION("""COMPUTED_VALUE"""),90.0)</f>
        <v>90</v>
      </c>
      <c r="D83" s="22">
        <f>IFERROR(__xludf.DUMMYFUNCTION("""COMPUTED_VALUE"""),85.0)</f>
        <v>85</v>
      </c>
      <c r="E83" s="22">
        <f>IFERROR(__xludf.DUMMYFUNCTION("""COMPUTED_VALUE"""),80.0)</f>
        <v>80</v>
      </c>
      <c r="F83" s="22">
        <f>IFERROR(__xludf.DUMMYFUNCTION("""COMPUTED_VALUE"""),75.0)</f>
        <v>75</v>
      </c>
      <c r="G83" s="22">
        <f>IFERROR(__xludf.DUMMYFUNCTION("""COMPUTED_VALUE"""),70.0)</f>
        <v>70</v>
      </c>
    </row>
    <row r="84">
      <c r="A84" s="10" t="str">
        <f>IFERROR(__xludf.DUMMYFUNCTION("""COMPUTED_VALUE"""),"FK-1E")</f>
        <v>FK-1E</v>
      </c>
      <c r="B84" s="20" t="str">
        <f>IFERROR(__xludf.DUMMYFUNCTION("""COMPUTED_VALUE"""),"Футляр для кредитных карт с тремя карманами, экокожа с персонализацией")</f>
        <v>Футляр для кредитных карт с тремя карманами, экокожа с персонализацией</v>
      </c>
      <c r="C84" s="22">
        <f>IFERROR(__xludf.DUMMYFUNCTION("""COMPUTED_VALUE"""),135.0)</f>
        <v>135</v>
      </c>
      <c r="D84" s="22">
        <f>IFERROR(__xludf.DUMMYFUNCTION("""COMPUTED_VALUE"""),125.0)</f>
        <v>125</v>
      </c>
      <c r="E84" s="22">
        <f>IFERROR(__xludf.DUMMYFUNCTION("""COMPUTED_VALUE"""),115.0)</f>
        <v>115</v>
      </c>
      <c r="F84" s="22">
        <f>IFERROR(__xludf.DUMMYFUNCTION("""COMPUTED_VALUE"""),110.0)</f>
        <v>110</v>
      </c>
      <c r="G84" s="22">
        <f>IFERROR(__xludf.DUMMYFUNCTION("""COMPUTED_VALUE"""),105.0)</f>
        <v>105</v>
      </c>
    </row>
    <row r="85" ht="9.75" customHeight="1">
      <c r="A85" s="94" t="str">
        <f>IFERROR(__xludf.DUMMYFUNCTION("""COMPUTED_VALUE"""),"")</f>
        <v/>
      </c>
      <c r="B85" s="95" t="str">
        <f>IFERROR(__xludf.DUMMYFUNCTION("""COMPUTED_VALUE"""),"")</f>
        <v/>
      </c>
      <c r="C85" s="96" t="str">
        <f>IFERROR(__xludf.DUMMYFUNCTION("""COMPUTED_VALUE"""),"")</f>
        <v/>
      </c>
      <c r="D85" s="96" t="str">
        <f>IFERROR(__xludf.DUMMYFUNCTION("""COMPUTED_VALUE"""),"")</f>
        <v/>
      </c>
      <c r="E85" s="96" t="str">
        <f>IFERROR(__xludf.DUMMYFUNCTION("""COMPUTED_VALUE"""),"")</f>
        <v/>
      </c>
      <c r="F85" s="96" t="str">
        <f>IFERROR(__xludf.DUMMYFUNCTION("""COMPUTED_VALUE"""),"")</f>
        <v/>
      </c>
      <c r="G85" s="96" t="str">
        <f>IFERROR(__xludf.DUMMYFUNCTION("""COMPUTED_VALUE"""),"")</f>
        <v/>
      </c>
    </row>
    <row r="86">
      <c r="A86" s="10" t="str">
        <f>IFERROR(__xludf.DUMMYFUNCTION("""COMPUTED_VALUE"""),"POLR - 11EF")</f>
        <v>POLR - 11EF</v>
      </c>
      <c r="B86" s="20" t="str">
        <f>IFERROR(__xludf.DUMMYFUNCTION("""COMPUTED_VALUE"""),"Чехол вертикальный для пластиковой карты с  RFID блокиратором, Экокожа с Флок подложкой и персонализацией")</f>
        <v>Чехол вертикальный для пластиковой карты с  RFID блокиратором, Экокожа с Флок подложкой и персонализацией</v>
      </c>
      <c r="C86" s="22">
        <f>IFERROR(__xludf.DUMMYFUNCTION("""COMPUTED_VALUE"""),120.0)</f>
        <v>120</v>
      </c>
      <c r="D86" s="22">
        <f>IFERROR(__xludf.DUMMYFUNCTION("""COMPUTED_VALUE"""),110.0)</f>
        <v>110</v>
      </c>
      <c r="E86" s="22">
        <f>IFERROR(__xludf.DUMMYFUNCTION("""COMPUTED_VALUE"""),105.0)</f>
        <v>105</v>
      </c>
      <c r="F86" s="22">
        <f>IFERROR(__xludf.DUMMYFUNCTION("""COMPUTED_VALUE"""),100.0)</f>
        <v>100</v>
      </c>
      <c r="G86" s="22">
        <f>IFERROR(__xludf.DUMMYFUNCTION("""COMPUTED_VALUE"""),90.0)</f>
        <v>90</v>
      </c>
    </row>
    <row r="87">
      <c r="A87" s="10" t="str">
        <f>IFERROR(__xludf.DUMMYFUNCTION("""COMPUTED_VALUE"""),"POLR - 22EF")</f>
        <v>POLR - 22EF</v>
      </c>
      <c r="B87" s="20" t="str">
        <f>IFERROR(__xludf.DUMMYFUNCTION("""COMPUTED_VALUE"""),"Чехол вертикальный c дополнительным карманом для пластиковой карты с  RFID блокиратором, Экокожа с Флок подложкой и персонализацией")</f>
        <v>Чехол вертикальный c дополнительным карманом для пластиковой карты с  RFID блокиратором, Экокожа с Флок подложкой и персонализацией</v>
      </c>
      <c r="C87" s="22">
        <f>IFERROR(__xludf.DUMMYFUNCTION("""COMPUTED_VALUE"""),130.0)</f>
        <v>130</v>
      </c>
      <c r="D87" s="22">
        <f>IFERROR(__xludf.DUMMYFUNCTION("""COMPUTED_VALUE"""),120.0)</f>
        <v>120</v>
      </c>
      <c r="E87" s="22">
        <f>IFERROR(__xludf.DUMMYFUNCTION("""COMPUTED_VALUE"""),115.0)</f>
        <v>115</v>
      </c>
      <c r="F87" s="22">
        <f>IFERROR(__xludf.DUMMYFUNCTION("""COMPUTED_VALUE"""),110.0)</f>
        <v>110</v>
      </c>
      <c r="G87" s="22">
        <f>IFERROR(__xludf.DUMMYFUNCTION("""COMPUTED_VALUE"""),100.0)</f>
        <v>100</v>
      </c>
    </row>
    <row r="88">
      <c r="A88" s="10" t="str">
        <f>IFERROR(__xludf.DUMMYFUNCTION("""COMPUTED_VALUE"""),"FKR-1E")</f>
        <v>FKR-1E</v>
      </c>
      <c r="B88" s="20" t="str">
        <f>IFERROR(__xludf.DUMMYFUNCTION("""COMPUTED_VALUE"""),"Футляр для кредитных карт с тремя карманами, RFID блокиратор, экокожа с персонализацией")</f>
        <v>Футляр для кредитных карт с тремя карманами, RFID блокиратор, экокожа с персонализацией</v>
      </c>
      <c r="C88" s="22">
        <f>IFERROR(__xludf.DUMMYFUNCTION("""COMPUTED_VALUE"""),180.0)</f>
        <v>180</v>
      </c>
      <c r="D88" s="22">
        <f>IFERROR(__xludf.DUMMYFUNCTION("""COMPUTED_VALUE"""),175.0)</f>
        <v>175</v>
      </c>
      <c r="E88" s="22">
        <f>IFERROR(__xludf.DUMMYFUNCTION("""COMPUTED_VALUE"""),170.0)</f>
        <v>170</v>
      </c>
      <c r="F88" s="22">
        <f>IFERROR(__xludf.DUMMYFUNCTION("""COMPUTED_VALUE"""),165.0)</f>
        <v>165</v>
      </c>
      <c r="G88" s="22">
        <f>IFERROR(__xludf.DUMMYFUNCTION("""COMPUTED_VALUE"""),155.0)</f>
        <v>155</v>
      </c>
    </row>
    <row r="89">
      <c r="A89" s="10" t="str">
        <f>IFERROR(__xludf.DUMMYFUNCTION("""COMPUTED_VALUE"""),"FKKR-4E")</f>
        <v>FKKR-4E</v>
      </c>
      <c r="B89" s="20" t="str">
        <f>IFERROR(__xludf.DUMMYFUNCTION("""COMPUTED_VALUE"""),"Футляр - книжка для кредитных карт с четырьмя карманами, RFID блокиратор, экокожа с персонализацией")</f>
        <v>Футляр - книжка для кредитных карт с четырьмя карманами, RFID блокиратор, экокожа с персонализацией</v>
      </c>
      <c r="C89" s="22">
        <f>IFERROR(__xludf.DUMMYFUNCTION("""COMPUTED_VALUE"""),215.0)</f>
        <v>215</v>
      </c>
      <c r="D89" s="22">
        <f>IFERROR(__xludf.DUMMYFUNCTION("""COMPUTED_VALUE"""),210.0)</f>
        <v>210</v>
      </c>
      <c r="E89" s="22">
        <f>IFERROR(__xludf.DUMMYFUNCTION("""COMPUTED_VALUE"""),205.0)</f>
        <v>205</v>
      </c>
      <c r="F89" s="22">
        <f>IFERROR(__xludf.DUMMYFUNCTION("""COMPUTED_VALUE"""),195.0)</f>
        <v>195</v>
      </c>
      <c r="G89" s="22">
        <f>IFERROR(__xludf.DUMMYFUNCTION("""COMPUTED_VALUE"""),185.0)</f>
        <v>185</v>
      </c>
    </row>
    <row r="90">
      <c r="A90" s="28" t="str">
        <f>IFERROR(__xludf.DUMMYFUNCTION("""COMPUTED_VALUE"""),"ВНИМАНИЕ !!!")</f>
        <v>ВНИМАНИЕ !!!</v>
      </c>
      <c r="B90" s="39" t="str">
        <f>IFERROR(__xludf.DUMMYFUNCTION("""COMPUTED_VALUE"""),"Дополнительно штамп для тиснение, размер до 50х40 мм")</f>
        <v>Дополнительно штамп для тиснение, размер до 50х40 мм</v>
      </c>
      <c r="C90" s="40">
        <f>IFERROR(__xludf.DUMMYFUNCTION("""COMPUTED_VALUE"""),3000.0)</f>
        <v>3000</v>
      </c>
      <c r="D90" s="40" t="str">
        <f>IFERROR(__xludf.DUMMYFUNCTION("""COMPUTED_VALUE"""),"")</f>
        <v/>
      </c>
      <c r="E90" s="40" t="str">
        <f>IFERROR(__xludf.DUMMYFUNCTION("""COMPUTED_VALUE"""),"")</f>
        <v/>
      </c>
      <c r="F90" s="40" t="str">
        <f>IFERROR(__xludf.DUMMYFUNCTION("""COMPUTED_VALUE"""),"")</f>
        <v/>
      </c>
      <c r="G90" s="40" t="str">
        <f>IFERROR(__xludf.DUMMYFUNCTION("""COMPUTED_VALUE"""),"")</f>
        <v/>
      </c>
    </row>
    <row r="91">
      <c r="A91" s="92" t="str">
        <f>IFERROR(__xludf.DUMMYFUNCTION("""COMPUTED_VALUE"""),"                                                                    Чехлы для пластиковых карт с полноцветной печатью, ПУ кожа")</f>
        <v>                                                                    Чехлы для пластиковых карт с полноцветной печатью, ПУ кожа</v>
      </c>
      <c r="B91" s="4" t="str">
        <f>IFERROR(__xludf.DUMMYFUNCTION("""COMPUTED_VALUE"""),"")</f>
        <v/>
      </c>
      <c r="C91" s="11" t="str">
        <f>IFERROR(__xludf.DUMMYFUNCTION("""COMPUTED_VALUE"""),"")</f>
        <v/>
      </c>
      <c r="D91" s="11" t="str">
        <f>IFERROR(__xludf.DUMMYFUNCTION("""COMPUTED_VALUE"""),"")</f>
        <v/>
      </c>
      <c r="E91" s="11" t="str">
        <f>IFERROR(__xludf.DUMMYFUNCTION("""COMPUTED_VALUE"""),"")</f>
        <v/>
      </c>
      <c r="F91" s="11" t="str">
        <f>IFERROR(__xludf.DUMMYFUNCTION("""COMPUTED_VALUE"""),"")</f>
        <v/>
      </c>
      <c r="G91" s="11" t="str">
        <f>IFERROR(__xludf.DUMMYFUNCTION("""COMPUTED_VALUE"""),"")</f>
        <v/>
      </c>
    </row>
    <row r="92">
      <c r="A92" s="97" t="str">
        <f>IFERROR(__xludf.DUMMYFUNCTION("""COMPUTED_VALUE"""),"")</f>
        <v/>
      </c>
      <c r="B92" s="98" t="str">
        <f>IFERROR(__xludf.DUMMYFUNCTION("""COMPUTED_VALUE"""),"")</f>
        <v/>
      </c>
      <c r="C92" s="99" t="str">
        <f>IFERROR(__xludf.DUMMYFUNCTION("""COMPUTED_VALUE"""),"100 шт")</f>
        <v>100 шт</v>
      </c>
      <c r="D92" s="99" t="str">
        <f>IFERROR(__xludf.DUMMYFUNCTION("""COMPUTED_VALUE"""),"200 шт")</f>
        <v>200 шт</v>
      </c>
      <c r="E92" s="99" t="str">
        <f>IFERROR(__xludf.DUMMYFUNCTION("""COMPUTED_VALUE"""),"300 шт")</f>
        <v>300 шт</v>
      </c>
      <c r="F92" s="99" t="str">
        <f>IFERROR(__xludf.DUMMYFUNCTION("""COMPUTED_VALUE"""),"500 шт")</f>
        <v>500 шт</v>
      </c>
      <c r="G92" s="99" t="str">
        <f>IFERROR(__xludf.DUMMYFUNCTION("""COMPUTED_VALUE"""),"1000 шт")</f>
        <v>1000 шт</v>
      </c>
    </row>
    <row r="93">
      <c r="A93" s="10" t="str">
        <f>IFERROR(__xludf.DUMMYFUNCTION("""COMPUTED_VALUE"""),"POL - 1EFP")</f>
        <v>POL - 1EFP</v>
      </c>
      <c r="B93" s="20" t="str">
        <f>IFERROR(__xludf.DUMMYFUNCTION("""COMPUTED_VALUE"""),"Чехол вертикальный для пластиковой карты 86х54 мм, Экокожа с  Флок подложкой, полноцветная печать")</f>
        <v>Чехол вертикальный для пластиковой карты 86х54 мм, Экокожа с  Флок подложкой, полноцветная печать</v>
      </c>
      <c r="C93" s="22" t="str">
        <f>IFERROR(__xludf.DUMMYFUNCTION("""COMPUTED_VALUE"""),"105 ")</f>
        <v>105 </v>
      </c>
      <c r="D93" s="22">
        <f>IFERROR(__xludf.DUMMYFUNCTION("""COMPUTED_VALUE"""),95.0)</f>
        <v>95</v>
      </c>
      <c r="E93" s="22">
        <f>IFERROR(__xludf.DUMMYFUNCTION("""COMPUTED_VALUE"""),90.0)</f>
        <v>90</v>
      </c>
      <c r="F93" s="22">
        <f>IFERROR(__xludf.DUMMYFUNCTION("""COMPUTED_VALUE"""),85.0)</f>
        <v>85</v>
      </c>
      <c r="G93" s="22" t="str">
        <f>IFERROR(__xludf.DUMMYFUNCTION("""COMPUTED_VALUE"""),"80 ")</f>
        <v>80 </v>
      </c>
    </row>
    <row r="94">
      <c r="A94" s="10" t="str">
        <f>IFERROR(__xludf.DUMMYFUNCTION("""COMPUTED_VALUE"""),"POL- 2EFP")</f>
        <v>POL- 2EFP</v>
      </c>
      <c r="B94" s="20" t="str">
        <f>IFERROR(__xludf.DUMMYFUNCTION("""COMPUTED_VALUE"""),"Чехол вертикальный с дополнительным карманом для пластиковых карт 86х54 мм, Экокожа с Флок подложкой, полноцветная печать")</f>
        <v>Чехол вертикальный с дополнительным карманом для пластиковых карт 86х54 мм, Экокожа с Флок подложкой, полноцветная печать</v>
      </c>
      <c r="C94" s="22">
        <f>IFERROR(__xludf.DUMMYFUNCTION("""COMPUTED_VALUE"""),115.0)</f>
        <v>115</v>
      </c>
      <c r="D94" s="22">
        <f>IFERROR(__xludf.DUMMYFUNCTION("""COMPUTED_VALUE"""),105.0)</f>
        <v>105</v>
      </c>
      <c r="E94" s="22">
        <f>IFERROR(__xludf.DUMMYFUNCTION("""COMPUTED_VALUE"""),100.0)</f>
        <v>100</v>
      </c>
      <c r="F94" s="22">
        <f>IFERROR(__xludf.DUMMYFUNCTION("""COMPUTED_VALUE"""),95.0)</f>
        <v>95</v>
      </c>
      <c r="G94" s="22">
        <f>IFERROR(__xludf.DUMMYFUNCTION("""COMPUTED_VALUE"""),90.0)</f>
        <v>90</v>
      </c>
    </row>
    <row r="95">
      <c r="A95" s="10" t="str">
        <f>IFERROR(__xludf.DUMMYFUNCTION("""COMPUTED_VALUE"""),"FK-1EP")</f>
        <v>FK-1EP</v>
      </c>
      <c r="B95" s="20" t="str">
        <f>IFERROR(__xludf.DUMMYFUNCTION("""COMPUTED_VALUE"""),"Футляр для кредитных карт с тремя карманами, экокожа, полноцветная печать")</f>
        <v>Футляр для кредитных карт с тремя карманами, экокожа, полноцветная печать</v>
      </c>
      <c r="C95" s="22">
        <f>IFERROR(__xludf.DUMMYFUNCTION("""COMPUTED_VALUE"""),145.0)</f>
        <v>145</v>
      </c>
      <c r="D95" s="22">
        <f>IFERROR(__xludf.DUMMYFUNCTION("""COMPUTED_VALUE"""),135.0)</f>
        <v>135</v>
      </c>
      <c r="E95" s="22">
        <f>IFERROR(__xludf.DUMMYFUNCTION("""COMPUTED_VALUE"""),125.0)</f>
        <v>125</v>
      </c>
      <c r="F95" s="22">
        <f>IFERROR(__xludf.DUMMYFUNCTION("""COMPUTED_VALUE"""),120.0)</f>
        <v>120</v>
      </c>
      <c r="G95" s="22">
        <f>IFERROR(__xludf.DUMMYFUNCTION("""COMPUTED_VALUE"""),115.0)</f>
        <v>115</v>
      </c>
    </row>
    <row r="96" ht="11.25" customHeight="1">
      <c r="A96" s="94" t="str">
        <f>IFERROR(__xludf.DUMMYFUNCTION("""COMPUTED_VALUE"""),"")</f>
        <v/>
      </c>
      <c r="B96" s="95" t="str">
        <f>IFERROR(__xludf.DUMMYFUNCTION("""COMPUTED_VALUE"""),"")</f>
        <v/>
      </c>
      <c r="C96" s="96" t="str">
        <f>IFERROR(__xludf.DUMMYFUNCTION("""COMPUTED_VALUE"""),"")</f>
        <v/>
      </c>
      <c r="D96" s="96" t="str">
        <f>IFERROR(__xludf.DUMMYFUNCTION("""COMPUTED_VALUE"""),"")</f>
        <v/>
      </c>
      <c r="E96" s="96" t="str">
        <f>IFERROR(__xludf.DUMMYFUNCTION("""COMPUTED_VALUE"""),"")</f>
        <v/>
      </c>
      <c r="F96" s="96" t="str">
        <f>IFERROR(__xludf.DUMMYFUNCTION("""COMPUTED_VALUE"""),"")</f>
        <v/>
      </c>
      <c r="G96" s="96" t="str">
        <f>IFERROR(__xludf.DUMMYFUNCTION("""COMPUTED_VALUE"""),"")</f>
        <v/>
      </c>
    </row>
    <row r="97">
      <c r="A97" s="10" t="str">
        <f>IFERROR(__xludf.DUMMYFUNCTION("""COMPUTED_VALUE"""),"POLR - 11EFP")</f>
        <v>POLR - 11EFP</v>
      </c>
      <c r="B97" s="20" t="str">
        <f>IFERROR(__xludf.DUMMYFUNCTION("""COMPUTED_VALUE"""),"Чехол вертикальный для пластиковой карты с  RFID блокиратором, Экокожа с Флок подложкой, полноцветная печать")</f>
        <v>Чехол вертикальный для пластиковой карты с  RFID блокиратором, Экокожа с Флок подложкой, полноцветная печать</v>
      </c>
      <c r="C97" s="22">
        <f>IFERROR(__xludf.DUMMYFUNCTION("""COMPUTED_VALUE"""),135.0)</f>
        <v>135</v>
      </c>
      <c r="D97" s="22">
        <f>IFERROR(__xludf.DUMMYFUNCTION("""COMPUTED_VALUE"""),130.0)</f>
        <v>130</v>
      </c>
      <c r="E97" s="22">
        <f>IFERROR(__xludf.DUMMYFUNCTION("""COMPUTED_VALUE"""),120.0)</f>
        <v>120</v>
      </c>
      <c r="F97" s="22">
        <f>IFERROR(__xludf.DUMMYFUNCTION("""COMPUTED_VALUE"""),115.0)</f>
        <v>115</v>
      </c>
      <c r="G97" s="22">
        <f>IFERROR(__xludf.DUMMYFUNCTION("""COMPUTED_VALUE"""),105.0)</f>
        <v>105</v>
      </c>
    </row>
    <row r="98">
      <c r="A98" s="10" t="str">
        <f>IFERROR(__xludf.DUMMYFUNCTION("""COMPUTED_VALUE"""),"POLR - 22EFP")</f>
        <v>POLR - 22EFP</v>
      </c>
      <c r="B98" s="20" t="str">
        <f>IFERROR(__xludf.DUMMYFUNCTION("""COMPUTED_VALUE"""),"Чехол вертикальный c дополнительным карманом для пластиковой карты с  RFID блокиратором, Экокожа с Флок подложкой, полноцветная печать")</f>
        <v>Чехол вертикальный c дополнительным карманом для пластиковой карты с  RFID блокиратором, Экокожа с Флок подложкой, полноцветная печать</v>
      </c>
      <c r="C98" s="22">
        <f>IFERROR(__xludf.DUMMYFUNCTION("""COMPUTED_VALUE"""),145.0)</f>
        <v>145</v>
      </c>
      <c r="D98" s="22">
        <f>IFERROR(__xludf.DUMMYFUNCTION("""COMPUTED_VALUE"""),140.0)</f>
        <v>140</v>
      </c>
      <c r="E98" s="22">
        <f>IFERROR(__xludf.DUMMYFUNCTION("""COMPUTED_VALUE"""),130.0)</f>
        <v>130</v>
      </c>
      <c r="F98" s="22">
        <f>IFERROR(__xludf.DUMMYFUNCTION("""COMPUTED_VALUE"""),125.0)</f>
        <v>125</v>
      </c>
      <c r="G98" s="22">
        <f>IFERROR(__xludf.DUMMYFUNCTION("""COMPUTED_VALUE"""),115.0)</f>
        <v>115</v>
      </c>
    </row>
    <row r="99">
      <c r="A99" s="10" t="str">
        <f>IFERROR(__xludf.DUMMYFUNCTION("""COMPUTED_VALUE"""),"FKR-1EP")</f>
        <v>FKR-1EP</v>
      </c>
      <c r="B99" s="20" t="str">
        <f>IFERROR(__xludf.DUMMYFUNCTION("""COMPUTED_VALUE"""),"Футляр для кредитных карт с тремя карманами, RFID блокиратор, экокожа c полноцветной печатью")</f>
        <v>Футляр для кредитных карт с тремя карманами, RFID блокиратор, экокожа c полноцветной печатью</v>
      </c>
      <c r="C99" s="22">
        <f>IFERROR(__xludf.DUMMYFUNCTION("""COMPUTED_VALUE"""),195.0)</f>
        <v>195</v>
      </c>
      <c r="D99" s="22">
        <f>IFERROR(__xludf.DUMMYFUNCTION("""COMPUTED_VALUE"""),190.0)</f>
        <v>190</v>
      </c>
      <c r="E99" s="22">
        <f>IFERROR(__xludf.DUMMYFUNCTION("""COMPUTED_VALUE"""),185.0)</f>
        <v>185</v>
      </c>
      <c r="F99" s="22">
        <f>IFERROR(__xludf.DUMMYFUNCTION("""COMPUTED_VALUE"""),180.0)</f>
        <v>180</v>
      </c>
      <c r="G99" s="22">
        <f>IFERROR(__xludf.DUMMYFUNCTION("""COMPUTED_VALUE"""),170.0)</f>
        <v>170</v>
      </c>
    </row>
    <row r="100">
      <c r="A100" s="10" t="str">
        <f>IFERROR(__xludf.DUMMYFUNCTION("""COMPUTED_VALUE"""),"FKKR-4EP")</f>
        <v>FKKR-4EP</v>
      </c>
      <c r="B100" s="20" t="str">
        <f>IFERROR(__xludf.DUMMYFUNCTION("""COMPUTED_VALUE"""),"Футляр - книжка для кредитных карт с четырьмя карманами, RFID блокиратор, экокожа c полноцветной печатью")</f>
        <v>Футляр - книжка для кредитных карт с четырьмя карманами, RFID блокиратор, экокожа c полноцветной печатью</v>
      </c>
      <c r="C100" s="22">
        <f>IFERROR(__xludf.DUMMYFUNCTION("""COMPUTED_VALUE"""),245.0)</f>
        <v>245</v>
      </c>
      <c r="D100" s="22">
        <f>IFERROR(__xludf.DUMMYFUNCTION("""COMPUTED_VALUE"""),240.0)</f>
        <v>240</v>
      </c>
      <c r="E100" s="22">
        <f>IFERROR(__xludf.DUMMYFUNCTION("""COMPUTED_VALUE"""),235.0)</f>
        <v>235</v>
      </c>
      <c r="F100" s="22">
        <f>IFERROR(__xludf.DUMMYFUNCTION("""COMPUTED_VALUE"""),225.0)</f>
        <v>225</v>
      </c>
      <c r="G100" s="22">
        <f>IFERROR(__xludf.DUMMYFUNCTION("""COMPUTED_VALUE"""),215.0)</f>
        <v>215</v>
      </c>
    </row>
    <row r="101">
      <c r="A101" s="92" t="str">
        <f>IFERROR(__xludf.DUMMYFUNCTION("""COMPUTED_VALUE"""),"                                                                    Чехлы самоклеющиеся для пластиковых карт, ПУ кожа")</f>
        <v>                                                                    Чехлы самоклеющиеся для пластиковых карт, ПУ кожа</v>
      </c>
      <c r="B101" s="4" t="str">
        <f>IFERROR(__xludf.DUMMYFUNCTION("""COMPUTED_VALUE"""),"")</f>
        <v/>
      </c>
      <c r="C101" s="11" t="str">
        <f>IFERROR(__xludf.DUMMYFUNCTION("""COMPUTED_VALUE"""),"")</f>
        <v/>
      </c>
      <c r="D101" s="11" t="str">
        <f>IFERROR(__xludf.DUMMYFUNCTION("""COMPUTED_VALUE"""),"")</f>
        <v/>
      </c>
      <c r="E101" s="11" t="str">
        <f>IFERROR(__xludf.DUMMYFUNCTION("""COMPUTED_VALUE"""),"")</f>
        <v/>
      </c>
      <c r="F101" s="11" t="str">
        <f>IFERROR(__xludf.DUMMYFUNCTION("""COMPUTED_VALUE"""),"")</f>
        <v/>
      </c>
      <c r="G101" s="11" t="str">
        <f>IFERROR(__xludf.DUMMYFUNCTION("""COMPUTED_VALUE"""),"")</f>
        <v/>
      </c>
    </row>
    <row r="102">
      <c r="A102" s="10" t="str">
        <f>IFERROR(__xludf.DUMMYFUNCTION("""COMPUTED_VALUE"""),"POL- 7ES")</f>
        <v>POL- 7ES</v>
      </c>
      <c r="B102" s="20" t="str">
        <f>IFERROR(__xludf.DUMMYFUNCTION("""COMPUTED_VALUE"""),"Чехол вертикальный самоклеющийся для пластиковой карты 86х54 мм, Экокожа с Флок подложкой и персонализацией")</f>
        <v>Чехол вертикальный самоклеющийся для пластиковой карты 86х54 мм, Экокожа с Флок подложкой и персонализацией</v>
      </c>
      <c r="C102" s="22" t="str">
        <f>IFERROR(__xludf.DUMMYFUNCTION("""COMPUTED_VALUE"""),"95 ")</f>
        <v>95 </v>
      </c>
      <c r="D102" s="22" t="str">
        <f>IFERROR(__xludf.DUMMYFUNCTION("""COMPUTED_VALUE"""),"87 ")</f>
        <v>87 </v>
      </c>
      <c r="E102" s="22">
        <f>IFERROR(__xludf.DUMMYFUNCTION("""COMPUTED_VALUE"""),82.0)</f>
        <v>82</v>
      </c>
      <c r="F102" s="22" t="str">
        <f>IFERROR(__xludf.DUMMYFUNCTION("""COMPUTED_VALUE"""),"75 ")</f>
        <v>75 </v>
      </c>
      <c r="G102" s="22" t="str">
        <f>IFERROR(__xludf.DUMMYFUNCTION("""COMPUTED_VALUE"""),"72 ")</f>
        <v>72 </v>
      </c>
    </row>
    <row r="103">
      <c r="A103" s="10" t="str">
        <f>IFERROR(__xludf.DUMMYFUNCTION("""COMPUTED_VALUE"""),"POL-7ESP")</f>
        <v>POL-7ESP</v>
      </c>
      <c r="B103" s="20" t="str">
        <f>IFERROR(__xludf.DUMMYFUNCTION("""COMPUTED_VALUE"""),"Чехол вертикальный самоклеющийся для пластиковой карты 86х54 мм, Экокожа с Флок подложкой, полноцветная печать")</f>
        <v>Чехол вертикальный самоклеющийся для пластиковой карты 86х54 мм, Экокожа с Флок подложкой, полноцветная печать</v>
      </c>
      <c r="C103" s="22">
        <f>IFERROR(__xludf.DUMMYFUNCTION("""COMPUTED_VALUE"""),110.0)</f>
        <v>110</v>
      </c>
      <c r="D103" s="22">
        <f>IFERROR(__xludf.DUMMYFUNCTION("""COMPUTED_VALUE"""),102.0)</f>
        <v>102</v>
      </c>
      <c r="E103" s="22">
        <f>IFERROR(__xludf.DUMMYFUNCTION("""COMPUTED_VALUE"""),97.0)</f>
        <v>97</v>
      </c>
      <c r="F103" s="22">
        <f>IFERROR(__xludf.DUMMYFUNCTION("""COMPUTED_VALUE"""),90.0)</f>
        <v>90</v>
      </c>
      <c r="G103" s="22">
        <f>IFERROR(__xludf.DUMMYFUNCTION("""COMPUTED_VALUE"""),87.0)</f>
        <v>87</v>
      </c>
    </row>
    <row r="104">
      <c r="A104" s="28" t="str">
        <f>IFERROR(__xludf.DUMMYFUNCTION("""COMPUTED_VALUE"""),"")</f>
        <v/>
      </c>
      <c r="B104" s="39" t="str">
        <f>IFERROR(__xludf.DUMMYFUNCTION("""COMPUTED_VALUE"""),"")</f>
        <v/>
      </c>
      <c r="C104" s="40" t="str">
        <f>IFERROR(__xludf.DUMMYFUNCTION("""COMPUTED_VALUE"""),"")</f>
        <v/>
      </c>
      <c r="D104" s="40" t="str">
        <f>IFERROR(__xludf.DUMMYFUNCTION("""COMPUTED_VALUE"""),"")</f>
        <v/>
      </c>
      <c r="E104" s="40" t="str">
        <f>IFERROR(__xludf.DUMMYFUNCTION("""COMPUTED_VALUE"""),"")</f>
        <v/>
      </c>
      <c r="F104" s="40" t="str">
        <f>IFERROR(__xludf.DUMMYFUNCTION("""COMPUTED_VALUE"""),"")</f>
        <v/>
      </c>
      <c r="G104" s="40" t="str">
        <f>IFERROR(__xludf.DUMMYFUNCTION("""COMPUTED_VALUE"""),"")</f>
        <v/>
      </c>
    </row>
    <row r="105">
      <c r="A105" s="92" t="str">
        <f>IFERROR(__xludf.DUMMYFUNCTION("""COMPUTED_VALUE"""),"Блокирующая карта (активная карта)")</f>
        <v>Блокирующая карта (активная карта)</v>
      </c>
      <c r="B105" s="4" t="str">
        <f>IFERROR(__xludf.DUMMYFUNCTION("""COMPUTED_VALUE"""),"")</f>
        <v/>
      </c>
      <c r="C105" s="11" t="str">
        <f>IFERROR(__xludf.DUMMYFUNCTION("""COMPUTED_VALUE"""),"")</f>
        <v/>
      </c>
      <c r="D105" s="11" t="str">
        <f>IFERROR(__xludf.DUMMYFUNCTION("""COMPUTED_VALUE"""),"")</f>
        <v/>
      </c>
      <c r="E105" s="11" t="str">
        <f>IFERROR(__xludf.DUMMYFUNCTION("""COMPUTED_VALUE"""),"")</f>
        <v/>
      </c>
      <c r="F105" s="11" t="str">
        <f>IFERROR(__xludf.DUMMYFUNCTION("""COMPUTED_VALUE"""),"")</f>
        <v/>
      </c>
      <c r="G105" s="11" t="str">
        <f>IFERROR(__xludf.DUMMYFUNCTION("""COMPUTED_VALUE"""),"")</f>
        <v/>
      </c>
    </row>
    <row r="106">
      <c r="A106" s="6" t="str">
        <f>IFERROR(__xludf.DUMMYFUNCTION("""COMPUTED_VALUE"""),"")</f>
        <v/>
      </c>
      <c r="B106" s="42" t="str">
        <f>IFERROR(__xludf.DUMMYFUNCTION("""COMPUTED_VALUE"""),"")</f>
        <v/>
      </c>
      <c r="C106" s="43" t="str">
        <f>IFERROR(__xludf.DUMMYFUNCTION("""COMPUTED_VALUE"""),"100 шт")</f>
        <v>100 шт</v>
      </c>
      <c r="D106" s="43" t="str">
        <f>IFERROR(__xludf.DUMMYFUNCTION("""COMPUTED_VALUE"""),"200 шт")</f>
        <v>200 шт</v>
      </c>
      <c r="E106" s="43" t="str">
        <f>IFERROR(__xludf.DUMMYFUNCTION("""COMPUTED_VALUE"""),"300 шт")</f>
        <v>300 шт</v>
      </c>
      <c r="F106" s="43" t="str">
        <f>IFERROR(__xludf.DUMMYFUNCTION("""COMPUTED_VALUE"""),"500 шт")</f>
        <v>500 шт</v>
      </c>
      <c r="G106" s="43" t="str">
        <f>IFERROR(__xludf.DUMMYFUNCTION("""COMPUTED_VALUE"""),"1000 шт")</f>
        <v>1000 шт</v>
      </c>
    </row>
    <row r="107">
      <c r="A107" s="10" t="str">
        <f>IFERROR(__xludf.DUMMYFUNCTION("""COMPUTED_VALUE"""),"BC- RFID 13,56")</f>
        <v>BC- RFID 13,56</v>
      </c>
      <c r="B107" s="20" t="str">
        <f>IFERROR(__xludf.DUMMYFUNCTION("""COMPUTED_VALUE"""),"Пластиковая карта с RFID (13,56) блокировкой, полноцветная печать.")</f>
        <v>Пластиковая карта с RFID (13,56) блокировкой, полноцветная печать.</v>
      </c>
      <c r="C107" s="22">
        <f>IFERROR(__xludf.DUMMYFUNCTION("""COMPUTED_VALUE"""),250.0)</f>
        <v>250</v>
      </c>
      <c r="D107" s="22">
        <f>IFERROR(__xludf.DUMMYFUNCTION("""COMPUTED_VALUE"""),220.0)</f>
        <v>220</v>
      </c>
      <c r="E107" s="22">
        <f>IFERROR(__xludf.DUMMYFUNCTION("""COMPUTED_VALUE"""),190.0)</f>
        <v>190</v>
      </c>
      <c r="F107" s="22">
        <f>IFERROR(__xludf.DUMMYFUNCTION("""COMPUTED_VALUE"""),165.0)</f>
        <v>165</v>
      </c>
      <c r="G107" s="22">
        <f>IFERROR(__xludf.DUMMYFUNCTION("""COMPUTED_VALUE"""),135.0)</f>
        <v>135</v>
      </c>
    </row>
    <row r="108">
      <c r="A108" s="28" t="str">
        <f>IFERROR(__xludf.DUMMYFUNCTION("""COMPUTED_VALUE"""),"")</f>
        <v/>
      </c>
      <c r="B108" s="39" t="str">
        <f>IFERROR(__xludf.DUMMYFUNCTION("""COMPUTED_VALUE"""),"")</f>
        <v/>
      </c>
      <c r="C108" s="40" t="str">
        <f>IFERROR(__xludf.DUMMYFUNCTION("""COMPUTED_VALUE"""),"")</f>
        <v/>
      </c>
      <c r="D108" s="40" t="str">
        <f>IFERROR(__xludf.DUMMYFUNCTION("""COMPUTED_VALUE"""),"")</f>
        <v/>
      </c>
      <c r="E108" s="40" t="str">
        <f>IFERROR(__xludf.DUMMYFUNCTION("""COMPUTED_VALUE"""),"")</f>
        <v/>
      </c>
      <c r="F108" s="40" t="str">
        <f>IFERROR(__xludf.DUMMYFUNCTION("""COMPUTED_VALUE"""),"")</f>
        <v/>
      </c>
      <c r="G108" s="40" t="str">
        <f>IFERROR(__xludf.DUMMYFUNCTION("""COMPUTED_VALUE"""),"")</f>
        <v/>
      </c>
    </row>
    <row r="109">
      <c r="A109" s="6" t="str">
        <f>IFERROR(__xludf.DUMMYFUNCTION("""COMPUTED_VALUE"""),"Карман для проксимити карты Экокожа")</f>
        <v>Карман для проксимити карты Экокожа</v>
      </c>
      <c r="B109" s="42" t="str">
        <f>IFERROR(__xludf.DUMMYFUNCTION("""COMPUTED_VALUE"""),"")</f>
        <v/>
      </c>
      <c r="C109" s="43" t="str">
        <f>IFERROR(__xludf.DUMMYFUNCTION("""COMPUTED_VALUE"""),"50 шт")</f>
        <v>50 шт</v>
      </c>
      <c r="D109" s="43" t="str">
        <f>IFERROR(__xludf.DUMMYFUNCTION("""COMPUTED_VALUE"""),"100 шт")</f>
        <v>100 шт</v>
      </c>
      <c r="E109" s="43" t="str">
        <f>IFERROR(__xludf.DUMMYFUNCTION("""COMPUTED_VALUE"""),"200 шт")</f>
        <v>200 шт</v>
      </c>
      <c r="F109" s="43" t="str">
        <f>IFERROR(__xludf.DUMMYFUNCTION("""COMPUTED_VALUE"""),"300 шт")</f>
        <v>300 шт</v>
      </c>
      <c r="G109" s="43" t="str">
        <f>IFERROR(__xludf.DUMMYFUNCTION("""COMPUTED_VALUE"""),"500 шт")</f>
        <v>500 шт</v>
      </c>
    </row>
    <row r="110">
      <c r="A110" s="10" t="str">
        <f>IFERROR(__xludf.DUMMYFUNCTION("""COMPUTED_VALUE"""),"EК-3V-1")</f>
        <v>EК-3V-1</v>
      </c>
      <c r="B110" s="20" t="str">
        <f>IFERROR(__xludf.DUMMYFUNCTION("""COMPUTED_VALUE"""),"Карман вертикальный для карты, внутр. размер 63x94мм, толщина винила 350 мкм (экокожа)")</f>
        <v>Карман вертикальный для карты, внутр. размер 63x94мм, толщина винила 350 мкм (экокожа)</v>
      </c>
      <c r="C110" s="22">
        <f>IFERROR(__xludf.DUMMYFUNCTION("""COMPUTED_VALUE"""),75.0)</f>
        <v>75</v>
      </c>
      <c r="D110" s="22">
        <f>IFERROR(__xludf.DUMMYFUNCTION("""COMPUTED_VALUE"""),65.0)</f>
        <v>65</v>
      </c>
      <c r="E110" s="22">
        <f>IFERROR(__xludf.DUMMYFUNCTION("""COMPUTED_VALUE"""),60.0)</f>
        <v>60</v>
      </c>
      <c r="F110" s="22">
        <f>IFERROR(__xludf.DUMMYFUNCTION("""COMPUTED_VALUE"""),55.0)</f>
        <v>55</v>
      </c>
      <c r="G110" s="22">
        <f>IFERROR(__xludf.DUMMYFUNCTION("""COMPUTED_VALUE"""),50.0)</f>
        <v>50</v>
      </c>
    </row>
    <row r="111">
      <c r="A111" s="10" t="str">
        <f>IFERROR(__xludf.DUMMYFUNCTION("""COMPUTED_VALUE"""),"EК-3V-2")</f>
        <v>EК-3V-2</v>
      </c>
      <c r="B111" s="20" t="str">
        <f>IFERROR(__xludf.DUMMYFUNCTION("""COMPUTED_VALUE"""),"Карман вертикальный для карты, внутр. размер 63x94мм, толщина винила 350 мкм (экокожа), дополнительный карман")</f>
        <v>Карман вертикальный для карты, внутр. размер 63x94мм, толщина винила 350 мкм (экокожа), дополнительный карман</v>
      </c>
      <c r="C111" s="22">
        <f>IFERROR(__xludf.DUMMYFUNCTION("""COMPUTED_VALUE"""),85.0)</f>
        <v>85</v>
      </c>
      <c r="D111" s="22">
        <f>IFERROR(__xludf.DUMMYFUNCTION("""COMPUTED_VALUE"""),75.0)</f>
        <v>75</v>
      </c>
      <c r="E111" s="22">
        <f>IFERROR(__xludf.DUMMYFUNCTION("""COMPUTED_VALUE"""),70.0)</f>
        <v>70</v>
      </c>
      <c r="F111" s="22">
        <f>IFERROR(__xludf.DUMMYFUNCTION("""COMPUTED_VALUE"""),65.0)</f>
        <v>65</v>
      </c>
      <c r="G111" s="22">
        <f>IFERROR(__xludf.DUMMYFUNCTION("""COMPUTED_VALUE"""),60.0)</f>
        <v>60</v>
      </c>
    </row>
    <row r="112">
      <c r="A112" s="10" t="str">
        <f>IFERROR(__xludf.DUMMYFUNCTION("""COMPUTED_VALUE"""),"EК-1H-1")</f>
        <v>EК-1H-1</v>
      </c>
      <c r="B112" s="20" t="str">
        <f>IFERROR(__xludf.DUMMYFUNCTION("""COMPUTED_VALUE"""),"Карман горизонтальный для карты ,внутр. размер 90x60мм,  толщина винила 350 мкм (экокожа)")</f>
        <v>Карман горизонтальный для карты ,внутр. размер 90x60мм,  толщина винила 350 мкм (экокожа)</v>
      </c>
      <c r="C112" s="22">
        <f>IFERROR(__xludf.DUMMYFUNCTION("""COMPUTED_VALUE"""),75.0)</f>
        <v>75</v>
      </c>
      <c r="D112" s="22">
        <f>IFERROR(__xludf.DUMMYFUNCTION("""COMPUTED_VALUE"""),65.0)</f>
        <v>65</v>
      </c>
      <c r="E112" s="22">
        <f>IFERROR(__xludf.DUMMYFUNCTION("""COMPUTED_VALUE"""),60.0)</f>
        <v>60</v>
      </c>
      <c r="F112" s="22">
        <f>IFERROR(__xludf.DUMMYFUNCTION("""COMPUTED_VALUE"""),55.0)</f>
        <v>55</v>
      </c>
      <c r="G112" s="22">
        <f>IFERROR(__xludf.DUMMYFUNCTION("""COMPUTED_VALUE"""),50.0)</f>
        <v>50</v>
      </c>
    </row>
    <row r="113">
      <c r="A113" s="10" t="str">
        <f>IFERROR(__xludf.DUMMYFUNCTION("""COMPUTED_VALUE"""),"EК-1H-2")</f>
        <v>EК-1H-2</v>
      </c>
      <c r="B113" s="20" t="str">
        <f>IFERROR(__xludf.DUMMYFUNCTION("""COMPUTED_VALUE"""),"Карман горизонтальный для карты ,внутр. размер 90x60мм, толщина винила 350 мкм (экокожа), дополнительный карман")</f>
        <v>Карман горизонтальный для карты ,внутр. размер 90x60мм, толщина винила 350 мкм (экокожа), дополнительный карман</v>
      </c>
      <c r="C113" s="22">
        <f>IFERROR(__xludf.DUMMYFUNCTION("""COMPUTED_VALUE"""),85.0)</f>
        <v>85</v>
      </c>
      <c r="D113" s="22">
        <f>IFERROR(__xludf.DUMMYFUNCTION("""COMPUTED_VALUE"""),75.0)</f>
        <v>75</v>
      </c>
      <c r="E113" s="22">
        <f>IFERROR(__xludf.DUMMYFUNCTION("""COMPUTED_VALUE"""),70.0)</f>
        <v>70</v>
      </c>
      <c r="F113" s="22">
        <f>IFERROR(__xludf.DUMMYFUNCTION("""COMPUTED_VALUE"""),65.0)</f>
        <v>65</v>
      </c>
      <c r="G113" s="22">
        <f>IFERROR(__xludf.DUMMYFUNCTION("""COMPUTED_VALUE"""),60.0)</f>
        <v>60</v>
      </c>
    </row>
    <row r="114">
      <c r="A114" s="97" t="str">
        <f>IFERROR(__xludf.DUMMYFUNCTION("""COMPUTED_VALUE"""),"Карман для проксимити карты Экокожа с полноцветной печатью")</f>
        <v>Карман для проксимити карты Экокожа с полноцветной печатью</v>
      </c>
      <c r="B114" s="98" t="str">
        <f>IFERROR(__xludf.DUMMYFUNCTION("""COMPUTED_VALUE"""),"")</f>
        <v/>
      </c>
      <c r="C114" s="99" t="str">
        <f>IFERROR(__xludf.DUMMYFUNCTION("""COMPUTED_VALUE"""),"50 шт")</f>
        <v>50 шт</v>
      </c>
      <c r="D114" s="99" t="str">
        <f>IFERROR(__xludf.DUMMYFUNCTION("""COMPUTED_VALUE"""),"100 шт")</f>
        <v>100 шт</v>
      </c>
      <c r="E114" s="99" t="str">
        <f>IFERROR(__xludf.DUMMYFUNCTION("""COMPUTED_VALUE"""),"200 шт")</f>
        <v>200 шт</v>
      </c>
      <c r="F114" s="99" t="str">
        <f>IFERROR(__xludf.DUMMYFUNCTION("""COMPUTED_VALUE"""),"300 шт")</f>
        <v>300 шт</v>
      </c>
      <c r="G114" s="99" t="str">
        <f>IFERROR(__xludf.DUMMYFUNCTION("""COMPUTED_VALUE"""),"500 шт")</f>
        <v>500 шт</v>
      </c>
    </row>
    <row r="115">
      <c r="A115" s="10" t="str">
        <f>IFERROR(__xludf.DUMMYFUNCTION("""COMPUTED_VALUE"""),"EК-3V-1P")</f>
        <v>EК-3V-1P</v>
      </c>
      <c r="B115" s="20" t="str">
        <f>IFERROR(__xludf.DUMMYFUNCTION("""COMPUTED_VALUE"""),"Карман вертикальный для карты, внутр. размер 63x94мм, толщина винила 350 мкм (экокожа), полноцветная печать")</f>
        <v>Карман вертикальный для карты, внутр. размер 63x94мм, толщина винила 350 мкм (экокожа), полноцветная печать</v>
      </c>
      <c r="C115" s="22">
        <f>IFERROR(__xludf.DUMMYFUNCTION("""COMPUTED_VALUE"""),95.0)</f>
        <v>95</v>
      </c>
      <c r="D115" s="22">
        <f>IFERROR(__xludf.DUMMYFUNCTION("""COMPUTED_VALUE"""),85.0)</f>
        <v>85</v>
      </c>
      <c r="E115" s="22">
        <f>IFERROR(__xludf.DUMMYFUNCTION("""COMPUTED_VALUE"""),80.0)</f>
        <v>80</v>
      </c>
      <c r="F115" s="22">
        <f>IFERROR(__xludf.DUMMYFUNCTION("""COMPUTED_VALUE"""),75.0)</f>
        <v>75</v>
      </c>
      <c r="G115" s="22">
        <f>IFERROR(__xludf.DUMMYFUNCTION("""COMPUTED_VALUE"""),70.0)</f>
        <v>70</v>
      </c>
    </row>
    <row r="116">
      <c r="A116" s="10" t="str">
        <f>IFERROR(__xludf.DUMMYFUNCTION("""COMPUTED_VALUE"""),"EК-3V-2P")</f>
        <v>EК-3V-2P</v>
      </c>
      <c r="B116" s="20" t="str">
        <f>IFERROR(__xludf.DUMMYFUNCTION("""COMPUTED_VALUE"""),"Карман вертикальный для карты, внутр. размер 63x94мм, толщина винила 350 мкм (экокожа), дополнительный карман, полноцветная печать")</f>
        <v>Карман вертикальный для карты, внутр. размер 63x94мм, толщина винила 350 мкм (экокожа), дополнительный карман, полноцветная печать</v>
      </c>
      <c r="C116" s="22">
        <f>IFERROR(__xludf.DUMMYFUNCTION("""COMPUTED_VALUE"""),105.0)</f>
        <v>105</v>
      </c>
      <c r="D116" s="22">
        <f>IFERROR(__xludf.DUMMYFUNCTION("""COMPUTED_VALUE"""),95.0)</f>
        <v>95</v>
      </c>
      <c r="E116" s="22">
        <f>IFERROR(__xludf.DUMMYFUNCTION("""COMPUTED_VALUE"""),90.0)</f>
        <v>90</v>
      </c>
      <c r="F116" s="22">
        <f>IFERROR(__xludf.DUMMYFUNCTION("""COMPUTED_VALUE"""),85.0)</f>
        <v>85</v>
      </c>
      <c r="G116" s="22">
        <f>IFERROR(__xludf.DUMMYFUNCTION("""COMPUTED_VALUE"""),80.0)</f>
        <v>80</v>
      </c>
    </row>
    <row r="117">
      <c r="A117" s="10" t="str">
        <f>IFERROR(__xludf.DUMMYFUNCTION("""COMPUTED_VALUE"""),"EК-1H-1P")</f>
        <v>EК-1H-1P</v>
      </c>
      <c r="B117" s="20" t="str">
        <f>IFERROR(__xludf.DUMMYFUNCTION("""COMPUTED_VALUE"""),"Карман горизонтальный для карты ,внутр. размер 90x60мм, толщина винила 350 мкм (экокожа), полноцветная печать")</f>
        <v>Карман горизонтальный для карты ,внутр. размер 90x60мм, толщина винила 350 мкм (экокожа), полноцветная печать</v>
      </c>
      <c r="C117" s="22">
        <f>IFERROR(__xludf.DUMMYFUNCTION("""COMPUTED_VALUE"""),95.0)</f>
        <v>95</v>
      </c>
      <c r="D117" s="22">
        <f>IFERROR(__xludf.DUMMYFUNCTION("""COMPUTED_VALUE"""),85.0)</f>
        <v>85</v>
      </c>
      <c r="E117" s="22">
        <f>IFERROR(__xludf.DUMMYFUNCTION("""COMPUTED_VALUE"""),80.0)</f>
        <v>80</v>
      </c>
      <c r="F117" s="22">
        <f>IFERROR(__xludf.DUMMYFUNCTION("""COMPUTED_VALUE"""),75.0)</f>
        <v>75</v>
      </c>
      <c r="G117" s="22">
        <f>IFERROR(__xludf.DUMMYFUNCTION("""COMPUTED_VALUE"""),70.0)</f>
        <v>70</v>
      </c>
    </row>
    <row r="118">
      <c r="A118" s="10" t="str">
        <f>IFERROR(__xludf.DUMMYFUNCTION("""COMPUTED_VALUE"""),"EК-1H-2P")</f>
        <v>EК-1H-2P</v>
      </c>
      <c r="B118" s="20" t="str">
        <f>IFERROR(__xludf.DUMMYFUNCTION("""COMPUTED_VALUE"""),"Карман горизонтальный для карты ,внутр. размер 90x60мм, толщина винила 350 мкм (экокожа), дополнительный карман, полноцветная печать")</f>
        <v>Карман горизонтальный для карты ,внутр. размер 90x60мм, толщина винила 350 мкм (экокожа), дополнительный карман, полноцветная печать</v>
      </c>
      <c r="C118" s="22">
        <f>IFERROR(__xludf.DUMMYFUNCTION("""COMPUTED_VALUE"""),105.0)</f>
        <v>105</v>
      </c>
      <c r="D118" s="22">
        <f>IFERROR(__xludf.DUMMYFUNCTION("""COMPUTED_VALUE"""),95.0)</f>
        <v>95</v>
      </c>
      <c r="E118" s="22">
        <f>IFERROR(__xludf.DUMMYFUNCTION("""COMPUTED_VALUE"""),90.0)</f>
        <v>90</v>
      </c>
      <c r="F118" s="22">
        <f>IFERROR(__xludf.DUMMYFUNCTION("""COMPUTED_VALUE"""),85.0)</f>
        <v>85</v>
      </c>
      <c r="G118" s="22">
        <f>IFERROR(__xludf.DUMMYFUNCTION("""COMPUTED_VALUE"""),80.0)</f>
        <v>80</v>
      </c>
    </row>
    <row r="119">
      <c r="A119" s="13" t="str">
        <f>IFERROR(__xludf.DUMMYFUNCTION("""COMPUTED_VALUE"""),"Ретрактор металлический с карманом для карты Экокожа")</f>
        <v>Ретрактор металлический с карманом для карты Экокожа</v>
      </c>
      <c r="B119" s="60" t="str">
        <f>IFERROR(__xludf.DUMMYFUNCTION("""COMPUTED_VALUE"""),"")</f>
        <v/>
      </c>
      <c r="C119" s="61" t="str">
        <f>IFERROR(__xludf.DUMMYFUNCTION("""COMPUTED_VALUE"""),"50 шт")</f>
        <v>50 шт</v>
      </c>
      <c r="D119" s="61" t="str">
        <f>IFERROR(__xludf.DUMMYFUNCTION("""COMPUTED_VALUE"""),"100 шт")</f>
        <v>100 шт</v>
      </c>
      <c r="E119" s="61" t="str">
        <f>IFERROR(__xludf.DUMMYFUNCTION("""COMPUTED_VALUE"""),"200 шт")</f>
        <v>200 шт</v>
      </c>
      <c r="F119" s="61" t="str">
        <f>IFERROR(__xludf.DUMMYFUNCTION("""COMPUTED_VALUE"""),"300 шт")</f>
        <v>300 шт</v>
      </c>
      <c r="G119" s="61" t="str">
        <f>IFERROR(__xludf.DUMMYFUNCTION("""COMPUTED_VALUE"""),"500 шт")</f>
        <v>500 шт</v>
      </c>
    </row>
    <row r="120">
      <c r="A120" s="10" t="str">
        <f>IFERROR(__xludf.DUMMYFUNCTION("""COMPUTED_VALUE"""),"EКR-1")</f>
        <v>EКR-1</v>
      </c>
      <c r="B120" s="20" t="str">
        <f>IFERROR(__xludf.DUMMYFUNCTION("""COMPUTED_VALUE"""),"Ретрактор металлический с карманом для пропуска, персонализация, толщина винила 350 мкм (экокожа)")</f>
        <v>Ретрактор металлический с карманом для пропуска, персонализация, толщина винила 350 мкм (экокожа)</v>
      </c>
      <c r="C120" s="22" t="str">
        <f>IFERROR(__xludf.DUMMYFUNCTION("""COMPUTED_VALUE"""),"270 руб")</f>
        <v>270 руб</v>
      </c>
      <c r="D120" s="22" t="str">
        <f>IFERROR(__xludf.DUMMYFUNCTION("""COMPUTED_VALUE"""),"250 руб")</f>
        <v>250 руб</v>
      </c>
      <c r="E120" s="22" t="str">
        <f>IFERROR(__xludf.DUMMYFUNCTION("""COMPUTED_VALUE"""),"240 руб")</f>
        <v>240 руб</v>
      </c>
      <c r="F120" s="22" t="str">
        <f>IFERROR(__xludf.DUMMYFUNCTION("""COMPUTED_VALUE"""),"220 руб")</f>
        <v>220 руб</v>
      </c>
      <c r="G120" s="22" t="str">
        <f>IFERROR(__xludf.DUMMYFUNCTION("""COMPUTED_VALUE"""),"200 руб")</f>
        <v>200 руб</v>
      </c>
    </row>
    <row r="121">
      <c r="A121" s="10" t="str">
        <f>IFERROR(__xludf.DUMMYFUNCTION("""COMPUTED_VALUE"""),"EКR-1P")</f>
        <v>EКR-1P</v>
      </c>
      <c r="B121" s="20" t="str">
        <f>IFERROR(__xludf.DUMMYFUNCTION("""COMPUTED_VALUE"""),"Ретрактор металлический с карманом для пропуска, полноцветная печать, толщина винила 350 мкм (экокожа)")</f>
        <v>Ретрактор металлический с карманом для пропуска, полноцветная печать, толщина винила 350 мкм (экокожа)</v>
      </c>
      <c r="C121" s="22" t="str">
        <f>IFERROR(__xludf.DUMMYFUNCTION("""COMPUTED_VALUE"""),"290 руб")</f>
        <v>290 руб</v>
      </c>
      <c r="D121" s="22" t="str">
        <f>IFERROR(__xludf.DUMMYFUNCTION("""COMPUTED_VALUE"""),"270 руб")</f>
        <v>270 руб</v>
      </c>
      <c r="E121" s="22" t="str">
        <f>IFERROR(__xludf.DUMMYFUNCTION("""COMPUTED_VALUE"""),"260 руб")</f>
        <v>260 руб</v>
      </c>
      <c r="F121" s="22" t="str">
        <f>IFERROR(__xludf.DUMMYFUNCTION("""COMPUTED_VALUE"""),"240 руб")</f>
        <v>240 руб</v>
      </c>
      <c r="G121" s="22" t="str">
        <f>IFERROR(__xludf.DUMMYFUNCTION("""COMPUTED_VALUE"""),"220 руб")</f>
        <v>220 руб</v>
      </c>
    </row>
    <row r="122">
      <c r="A122" s="28"/>
      <c r="B122" s="39"/>
      <c r="C122" s="40"/>
      <c r="D122" s="40"/>
      <c r="E122" s="40"/>
      <c r="F122" s="40"/>
      <c r="G122" s="40"/>
    </row>
    <row r="123">
      <c r="A123" s="28"/>
      <c r="B123" s="39"/>
      <c r="C123" s="40"/>
      <c r="D123" s="40"/>
      <c r="E123" s="40"/>
      <c r="F123" s="40"/>
      <c r="G123" s="40"/>
    </row>
    <row r="124">
      <c r="A124" s="28"/>
      <c r="B124" s="39"/>
      <c r="C124" s="40"/>
      <c r="D124" s="40"/>
      <c r="E124" s="40"/>
      <c r="F124" s="40"/>
      <c r="G124" s="40"/>
    </row>
    <row r="125">
      <c r="A125" s="28"/>
      <c r="B125" s="39"/>
      <c r="C125" s="40"/>
      <c r="D125" s="40"/>
      <c r="E125" s="40"/>
      <c r="F125" s="40"/>
      <c r="G125" s="40"/>
    </row>
    <row r="126">
      <c r="A126" s="28"/>
      <c r="B126" s="39"/>
      <c r="C126" s="40"/>
      <c r="D126" s="40"/>
      <c r="E126" s="40"/>
      <c r="F126" s="40"/>
      <c r="G126" s="40"/>
    </row>
    <row r="127">
      <c r="A127" s="28"/>
      <c r="B127" s="39"/>
      <c r="C127" s="40"/>
      <c r="D127" s="40"/>
      <c r="E127" s="40"/>
      <c r="F127" s="40"/>
      <c r="G127" s="40"/>
    </row>
    <row r="128">
      <c r="A128" s="28"/>
      <c r="B128" s="39"/>
      <c r="C128" s="40"/>
      <c r="D128" s="40"/>
      <c r="E128" s="40"/>
      <c r="F128" s="40"/>
      <c r="G128" s="40"/>
    </row>
    <row r="129">
      <c r="A129" s="28"/>
      <c r="B129" s="39"/>
      <c r="C129" s="40"/>
      <c r="D129" s="40"/>
      <c r="E129" s="40"/>
      <c r="F129" s="40"/>
      <c r="G129" s="40"/>
    </row>
    <row r="130">
      <c r="A130" s="28"/>
      <c r="B130" s="39"/>
      <c r="C130" s="40"/>
      <c r="D130" s="40"/>
      <c r="E130" s="40"/>
      <c r="F130" s="40"/>
      <c r="G130" s="40"/>
    </row>
    <row r="131">
      <c r="A131" s="28"/>
      <c r="B131" s="39"/>
      <c r="C131" s="40"/>
      <c r="D131" s="40"/>
      <c r="E131" s="40"/>
      <c r="F131" s="40"/>
      <c r="G131" s="40"/>
    </row>
    <row r="132">
      <c r="A132" s="28"/>
      <c r="B132" s="39"/>
      <c r="C132" s="40"/>
      <c r="D132" s="40"/>
      <c r="E132" s="40"/>
      <c r="F132" s="40"/>
      <c r="G132" s="40"/>
    </row>
    <row r="133">
      <c r="A133" s="28"/>
      <c r="B133" s="39"/>
      <c r="C133" s="40"/>
      <c r="D133" s="40"/>
      <c r="E133" s="40"/>
      <c r="F133" s="40"/>
      <c r="G133" s="40"/>
    </row>
    <row r="134">
      <c r="A134" s="28"/>
      <c r="B134" s="39"/>
      <c r="C134" s="40"/>
      <c r="D134" s="40"/>
      <c r="E134" s="40"/>
      <c r="F134" s="40"/>
      <c r="G134" s="40"/>
    </row>
    <row r="135">
      <c r="A135" s="28"/>
      <c r="B135" s="39"/>
      <c r="C135" s="40"/>
      <c r="D135" s="40"/>
      <c r="E135" s="40"/>
      <c r="F135" s="40"/>
      <c r="G135" s="40"/>
    </row>
    <row r="136">
      <c r="A136" s="28"/>
      <c r="B136" s="39"/>
      <c r="C136" s="40"/>
      <c r="D136" s="40"/>
      <c r="E136" s="40"/>
      <c r="F136" s="40"/>
      <c r="G136" s="40"/>
    </row>
    <row r="137">
      <c r="A137" s="28"/>
      <c r="B137" s="39"/>
      <c r="C137" s="40"/>
      <c r="D137" s="40"/>
      <c r="E137" s="40"/>
      <c r="F137" s="40"/>
      <c r="G137" s="40"/>
    </row>
    <row r="138">
      <c r="A138" s="28"/>
      <c r="B138" s="39"/>
      <c r="C138" s="40"/>
      <c r="D138" s="40"/>
      <c r="E138" s="40"/>
      <c r="F138" s="40"/>
      <c r="G138" s="40"/>
    </row>
    <row r="139">
      <c r="A139" s="28"/>
      <c r="B139" s="39"/>
      <c r="C139" s="40"/>
      <c r="D139" s="40"/>
      <c r="E139" s="40"/>
      <c r="F139" s="40"/>
      <c r="G139" s="40"/>
    </row>
    <row r="140">
      <c r="A140" s="28"/>
      <c r="B140" s="39"/>
      <c r="C140" s="40"/>
      <c r="D140" s="40"/>
      <c r="E140" s="40"/>
      <c r="F140" s="40"/>
      <c r="G140" s="40"/>
    </row>
    <row r="141">
      <c r="A141" s="28"/>
      <c r="B141" s="39"/>
      <c r="C141" s="40"/>
      <c r="D141" s="40"/>
      <c r="E141" s="40"/>
      <c r="F141" s="40"/>
      <c r="G141" s="40"/>
    </row>
    <row r="142">
      <c r="A142" s="28"/>
      <c r="B142" s="39"/>
      <c r="C142" s="40"/>
      <c r="D142" s="40"/>
      <c r="E142" s="40"/>
      <c r="F142" s="40"/>
      <c r="G142" s="40"/>
    </row>
    <row r="143">
      <c r="A143" s="28"/>
      <c r="B143" s="39"/>
      <c r="C143" s="40"/>
      <c r="D143" s="40"/>
      <c r="E143" s="40"/>
      <c r="F143" s="40"/>
      <c r="G143" s="40"/>
    </row>
    <row r="144">
      <c r="A144" s="28"/>
      <c r="B144" s="39"/>
      <c r="C144" s="40"/>
      <c r="D144" s="40"/>
      <c r="E144" s="40"/>
      <c r="F144" s="40"/>
      <c r="G144" s="40"/>
    </row>
    <row r="145">
      <c r="A145" s="28"/>
      <c r="B145" s="39"/>
      <c r="C145" s="40"/>
      <c r="D145" s="40"/>
      <c r="E145" s="40"/>
      <c r="F145" s="40"/>
      <c r="G145" s="40"/>
    </row>
    <row r="146">
      <c r="A146" s="28"/>
      <c r="B146" s="39"/>
      <c r="C146" s="40"/>
      <c r="D146" s="40"/>
      <c r="E146" s="40"/>
      <c r="F146" s="40"/>
      <c r="G146" s="40"/>
    </row>
    <row r="147">
      <c r="A147" s="28"/>
      <c r="B147" s="39"/>
      <c r="C147" s="40"/>
      <c r="D147" s="40"/>
      <c r="E147" s="40"/>
      <c r="F147" s="40"/>
      <c r="G147" s="40"/>
    </row>
    <row r="148">
      <c r="A148" s="28"/>
      <c r="B148" s="39"/>
      <c r="C148" s="40"/>
      <c r="D148" s="40"/>
      <c r="E148" s="40"/>
      <c r="F148" s="40"/>
      <c r="G148" s="40"/>
    </row>
    <row r="149">
      <c r="A149" s="28"/>
      <c r="B149" s="39"/>
      <c r="C149" s="40"/>
      <c r="D149" s="40"/>
      <c r="E149" s="40"/>
      <c r="F149" s="40"/>
      <c r="G149" s="40"/>
    </row>
    <row r="150">
      <c r="A150" s="28"/>
      <c r="B150" s="39"/>
      <c r="C150" s="40"/>
      <c r="D150" s="40"/>
      <c r="E150" s="40"/>
      <c r="F150" s="40"/>
      <c r="G150" s="40"/>
    </row>
    <row r="151">
      <c r="A151" s="28"/>
      <c r="B151" s="39"/>
      <c r="C151" s="40"/>
      <c r="D151" s="40"/>
      <c r="E151" s="40"/>
      <c r="F151" s="40"/>
      <c r="G151" s="40"/>
    </row>
    <row r="152">
      <c r="A152" s="28"/>
      <c r="B152" s="39"/>
      <c r="C152" s="40"/>
      <c r="D152" s="40"/>
      <c r="E152" s="40"/>
      <c r="F152" s="40"/>
      <c r="G152" s="40"/>
    </row>
    <row r="153">
      <c r="A153" s="28"/>
      <c r="B153" s="39"/>
      <c r="C153" s="40"/>
      <c r="D153" s="40"/>
      <c r="E153" s="40"/>
      <c r="F153" s="40"/>
      <c r="G153" s="40"/>
    </row>
    <row r="154">
      <c r="A154" s="28"/>
      <c r="B154" s="39"/>
      <c r="C154" s="40"/>
      <c r="D154" s="40"/>
      <c r="E154" s="40"/>
      <c r="F154" s="40"/>
      <c r="G154" s="40"/>
    </row>
    <row r="155">
      <c r="A155" s="28"/>
      <c r="B155" s="39"/>
      <c r="C155" s="40"/>
      <c r="D155" s="40"/>
      <c r="E155" s="40"/>
      <c r="F155" s="40"/>
      <c r="G155" s="40"/>
    </row>
    <row r="156">
      <c r="A156" s="28"/>
      <c r="B156" s="39"/>
      <c r="C156" s="40"/>
      <c r="D156" s="40"/>
      <c r="E156" s="40"/>
      <c r="F156" s="40"/>
      <c r="G156" s="40"/>
    </row>
    <row r="157">
      <c r="A157" s="28"/>
      <c r="B157" s="39"/>
      <c r="C157" s="40"/>
      <c r="D157" s="40"/>
      <c r="E157" s="40"/>
      <c r="F157" s="40"/>
      <c r="G157" s="40"/>
    </row>
    <row r="158">
      <c r="A158" s="28"/>
      <c r="B158" s="39"/>
      <c r="C158" s="40"/>
      <c r="D158" s="40"/>
      <c r="E158" s="40"/>
      <c r="F158" s="40"/>
      <c r="G158" s="40"/>
    </row>
    <row r="159">
      <c r="A159" s="28"/>
      <c r="B159" s="39"/>
      <c r="C159" s="40"/>
      <c r="D159" s="40"/>
      <c r="E159" s="40"/>
      <c r="F159" s="40"/>
      <c r="G159" s="40"/>
    </row>
    <row r="160">
      <c r="A160" s="28"/>
      <c r="B160" s="39"/>
      <c r="C160" s="40"/>
      <c r="D160" s="40"/>
      <c r="E160" s="40"/>
      <c r="F160" s="40"/>
      <c r="G160" s="40"/>
    </row>
    <row r="161">
      <c r="A161" s="28"/>
      <c r="B161" s="39"/>
      <c r="C161" s="40"/>
      <c r="D161" s="40"/>
      <c r="E161" s="40"/>
      <c r="F161" s="40"/>
      <c r="G161" s="40"/>
    </row>
    <row r="162">
      <c r="A162" s="28"/>
      <c r="B162" s="39"/>
      <c r="C162" s="40"/>
      <c r="D162" s="40"/>
      <c r="E162" s="40"/>
      <c r="F162" s="40"/>
      <c r="G162" s="40"/>
    </row>
    <row r="163">
      <c r="A163" s="28"/>
      <c r="B163" s="39"/>
      <c r="C163" s="40"/>
      <c r="D163" s="40"/>
      <c r="E163" s="40"/>
      <c r="F163" s="40"/>
      <c r="G163" s="40"/>
    </row>
    <row r="164">
      <c r="A164" s="28"/>
      <c r="B164" s="39"/>
      <c r="C164" s="40"/>
      <c r="D164" s="40"/>
      <c r="E164" s="40"/>
      <c r="F164" s="40"/>
      <c r="G164" s="40"/>
    </row>
    <row r="165">
      <c r="A165" s="28"/>
      <c r="B165" s="39"/>
      <c r="C165" s="40"/>
      <c r="D165" s="40"/>
      <c r="E165" s="40"/>
      <c r="F165" s="40"/>
      <c r="G165" s="40"/>
    </row>
    <row r="166">
      <c r="A166" s="28"/>
      <c r="B166" s="39"/>
      <c r="C166" s="40"/>
      <c r="D166" s="40"/>
      <c r="E166" s="40"/>
      <c r="F166" s="40"/>
      <c r="G166" s="40"/>
    </row>
    <row r="167">
      <c r="A167" s="28"/>
      <c r="B167" s="39"/>
      <c r="C167" s="40"/>
      <c r="D167" s="40"/>
      <c r="E167" s="40"/>
      <c r="F167" s="40"/>
      <c r="G167" s="40"/>
    </row>
    <row r="168">
      <c r="A168" s="28"/>
      <c r="B168" s="39"/>
      <c r="C168" s="40"/>
      <c r="D168" s="40"/>
      <c r="E168" s="40"/>
      <c r="F168" s="40"/>
      <c r="G168" s="40"/>
    </row>
    <row r="169">
      <c r="A169" s="28"/>
      <c r="B169" s="39"/>
      <c r="C169" s="40"/>
      <c r="D169" s="40"/>
      <c r="E169" s="40"/>
      <c r="F169" s="40"/>
      <c r="G169" s="40"/>
    </row>
    <row r="170">
      <c r="A170" s="28"/>
      <c r="B170" s="39"/>
      <c r="C170" s="40"/>
      <c r="D170" s="40"/>
      <c r="E170" s="40"/>
      <c r="F170" s="40"/>
      <c r="G170" s="40"/>
    </row>
    <row r="171">
      <c r="A171" s="28"/>
      <c r="B171" s="39"/>
      <c r="C171" s="40"/>
      <c r="D171" s="40"/>
      <c r="E171" s="40"/>
      <c r="F171" s="40"/>
      <c r="G171" s="40"/>
    </row>
    <row r="172">
      <c r="A172" s="28"/>
      <c r="B172" s="39"/>
      <c r="C172" s="40"/>
      <c r="D172" s="40"/>
      <c r="E172" s="40"/>
      <c r="F172" s="40"/>
      <c r="G172" s="40"/>
    </row>
    <row r="173">
      <c r="A173" s="28"/>
      <c r="B173" s="39"/>
      <c r="C173" s="40"/>
      <c r="D173" s="40"/>
      <c r="E173" s="40"/>
      <c r="F173" s="40"/>
      <c r="G173" s="40"/>
    </row>
    <row r="174">
      <c r="A174" s="28"/>
      <c r="B174" s="39"/>
      <c r="C174" s="40"/>
      <c r="D174" s="40"/>
      <c r="E174" s="40"/>
      <c r="F174" s="40"/>
      <c r="G174" s="40"/>
    </row>
    <row r="175">
      <c r="A175" s="28"/>
      <c r="B175" s="39"/>
      <c r="C175" s="40"/>
      <c r="D175" s="40"/>
      <c r="E175" s="40"/>
      <c r="F175" s="40"/>
      <c r="G175" s="40"/>
    </row>
    <row r="176">
      <c r="A176" s="28"/>
      <c r="B176" s="39"/>
      <c r="C176" s="40"/>
      <c r="D176" s="40"/>
      <c r="E176" s="40"/>
      <c r="F176" s="40"/>
      <c r="G176" s="40"/>
    </row>
    <row r="177">
      <c r="A177" s="28"/>
      <c r="B177" s="39"/>
      <c r="C177" s="40"/>
      <c r="D177" s="40"/>
      <c r="E177" s="40"/>
      <c r="F177" s="40"/>
      <c r="G177" s="40"/>
    </row>
    <row r="178">
      <c r="A178" s="28"/>
      <c r="B178" s="39"/>
      <c r="C178" s="40"/>
      <c r="D178" s="40"/>
      <c r="E178" s="40"/>
      <c r="F178" s="40"/>
      <c r="G178" s="40"/>
    </row>
    <row r="179">
      <c r="A179" s="28"/>
      <c r="B179" s="39"/>
      <c r="C179" s="40"/>
      <c r="D179" s="40"/>
      <c r="E179" s="40"/>
      <c r="F179" s="40"/>
      <c r="G179" s="40"/>
    </row>
    <row r="180">
      <c r="A180" s="28"/>
      <c r="B180" s="39"/>
      <c r="C180" s="40"/>
      <c r="D180" s="40"/>
      <c r="E180" s="40"/>
      <c r="F180" s="40"/>
      <c r="G180" s="40"/>
    </row>
    <row r="181">
      <c r="A181" s="28"/>
      <c r="B181" s="39"/>
      <c r="C181" s="40"/>
      <c r="D181" s="40"/>
      <c r="E181" s="40"/>
      <c r="F181" s="40"/>
      <c r="G181" s="40"/>
    </row>
    <row r="182">
      <c r="A182" s="28"/>
      <c r="B182" s="39"/>
      <c r="C182" s="40"/>
      <c r="D182" s="40"/>
      <c r="E182" s="40"/>
      <c r="F182" s="40"/>
      <c r="G182" s="40"/>
    </row>
    <row r="183">
      <c r="A183" s="28"/>
      <c r="B183" s="39"/>
      <c r="C183" s="40"/>
      <c r="D183" s="40"/>
      <c r="E183" s="40"/>
      <c r="F183" s="40"/>
      <c r="G183" s="40"/>
    </row>
    <row r="184">
      <c r="A184" s="28"/>
      <c r="B184" s="39"/>
      <c r="C184" s="40"/>
      <c r="D184" s="40"/>
      <c r="E184" s="40"/>
      <c r="F184" s="40"/>
      <c r="G184" s="40"/>
    </row>
    <row r="185">
      <c r="A185" s="28"/>
      <c r="B185" s="39"/>
      <c r="C185" s="40"/>
      <c r="D185" s="40"/>
      <c r="E185" s="40"/>
      <c r="F185" s="40"/>
      <c r="G185" s="40"/>
    </row>
    <row r="186">
      <c r="A186" s="28"/>
      <c r="B186" s="39"/>
      <c r="C186" s="40"/>
      <c r="D186" s="40"/>
      <c r="E186" s="40"/>
      <c r="F186" s="40"/>
      <c r="G186" s="40"/>
    </row>
    <row r="187">
      <c r="A187" s="28"/>
      <c r="B187" s="39"/>
      <c r="C187" s="40"/>
      <c r="D187" s="40"/>
      <c r="E187" s="40"/>
      <c r="F187" s="40"/>
      <c r="G187" s="40"/>
    </row>
    <row r="188">
      <c r="A188" s="28"/>
      <c r="B188" s="39"/>
      <c r="C188" s="40"/>
      <c r="D188" s="40"/>
      <c r="E188" s="40"/>
      <c r="F188" s="40"/>
      <c r="G188" s="40"/>
    </row>
    <row r="189">
      <c r="A189" s="28"/>
      <c r="B189" s="39"/>
      <c r="C189" s="40"/>
      <c r="D189" s="40"/>
      <c r="E189" s="40"/>
      <c r="F189" s="40"/>
      <c r="G189" s="40"/>
    </row>
    <row r="190">
      <c r="A190" s="28"/>
      <c r="B190" s="39"/>
      <c r="C190" s="40"/>
      <c r="D190" s="40"/>
      <c r="E190" s="40"/>
      <c r="F190" s="40"/>
      <c r="G190" s="40"/>
    </row>
    <row r="191">
      <c r="A191" s="28"/>
      <c r="B191" s="39"/>
      <c r="C191" s="40"/>
      <c r="D191" s="40"/>
      <c r="E191" s="40"/>
      <c r="F191" s="40"/>
      <c r="G191" s="40"/>
    </row>
    <row r="192">
      <c r="A192" s="28"/>
      <c r="B192" s="39"/>
      <c r="C192" s="40"/>
      <c r="D192" s="40"/>
      <c r="E192" s="40"/>
      <c r="F192" s="40"/>
      <c r="G192" s="40"/>
    </row>
    <row r="193">
      <c r="A193" s="28"/>
      <c r="B193" s="39"/>
      <c r="C193" s="40"/>
      <c r="D193" s="40"/>
      <c r="E193" s="40"/>
      <c r="F193" s="40"/>
      <c r="G193" s="40"/>
    </row>
    <row r="194">
      <c r="A194" s="28"/>
      <c r="B194" s="39"/>
      <c r="C194" s="40"/>
      <c r="D194" s="40"/>
      <c r="E194" s="40"/>
      <c r="F194" s="40"/>
      <c r="G194" s="40"/>
    </row>
    <row r="195">
      <c r="A195" s="28"/>
      <c r="B195" s="39"/>
      <c r="C195" s="40"/>
      <c r="D195" s="40"/>
      <c r="E195" s="40"/>
      <c r="F195" s="40"/>
      <c r="G195" s="40"/>
    </row>
    <row r="196">
      <c r="A196" s="28"/>
      <c r="B196" s="39"/>
      <c r="C196" s="40"/>
      <c r="D196" s="40"/>
      <c r="E196" s="40"/>
      <c r="F196" s="40"/>
      <c r="G196" s="40"/>
    </row>
    <row r="197">
      <c r="A197" s="28"/>
      <c r="B197" s="39"/>
      <c r="C197" s="40"/>
      <c r="D197" s="40"/>
      <c r="E197" s="40"/>
      <c r="F197" s="40"/>
      <c r="G197" s="40"/>
    </row>
    <row r="198">
      <c r="A198" s="28"/>
      <c r="B198" s="39"/>
      <c r="C198" s="40"/>
      <c r="D198" s="40"/>
      <c r="E198" s="40"/>
      <c r="F198" s="40"/>
      <c r="G198" s="40"/>
    </row>
    <row r="199">
      <c r="A199" s="28"/>
      <c r="B199" s="39"/>
      <c r="C199" s="40"/>
      <c r="D199" s="40"/>
      <c r="E199" s="40"/>
      <c r="F199" s="40"/>
      <c r="G199" s="40"/>
    </row>
    <row r="200">
      <c r="A200" s="28"/>
      <c r="B200" s="39"/>
      <c r="C200" s="40"/>
      <c r="D200" s="40"/>
      <c r="E200" s="40"/>
      <c r="F200" s="40"/>
      <c r="G200" s="40"/>
    </row>
    <row r="201">
      <c r="A201" s="28"/>
      <c r="B201" s="39"/>
      <c r="C201" s="40"/>
      <c r="D201" s="40"/>
      <c r="E201" s="40"/>
      <c r="F201" s="40"/>
      <c r="G201" s="40"/>
    </row>
    <row r="202">
      <c r="A202" s="28"/>
      <c r="B202" s="39"/>
      <c r="C202" s="40"/>
      <c r="D202" s="40"/>
      <c r="E202" s="40"/>
      <c r="F202" s="40"/>
      <c r="G202" s="40"/>
    </row>
    <row r="203">
      <c r="A203" s="28"/>
      <c r="B203" s="39"/>
      <c r="C203" s="40"/>
      <c r="D203" s="40"/>
      <c r="E203" s="40"/>
      <c r="F203" s="40"/>
      <c r="G203" s="40"/>
    </row>
    <row r="204">
      <c r="A204" s="28"/>
      <c r="B204" s="39"/>
      <c r="C204" s="40"/>
      <c r="D204" s="40"/>
      <c r="E204" s="40"/>
      <c r="F204" s="40"/>
      <c r="G204" s="40"/>
    </row>
    <row r="205">
      <c r="A205" s="28"/>
      <c r="B205" s="39"/>
      <c r="C205" s="40"/>
      <c r="D205" s="40"/>
      <c r="E205" s="40"/>
      <c r="F205" s="40"/>
      <c r="G205" s="40"/>
    </row>
    <row r="206">
      <c r="A206" s="28"/>
      <c r="B206" s="39"/>
      <c r="C206" s="40"/>
      <c r="D206" s="40"/>
      <c r="E206" s="40"/>
      <c r="F206" s="40"/>
      <c r="G206" s="40"/>
    </row>
    <row r="207">
      <c r="A207" s="28"/>
      <c r="B207" s="39"/>
      <c r="C207" s="40"/>
      <c r="D207" s="40"/>
      <c r="E207" s="40"/>
      <c r="F207" s="40"/>
      <c r="G207" s="40"/>
    </row>
    <row r="208">
      <c r="A208" s="28"/>
      <c r="B208" s="39"/>
      <c r="C208" s="40"/>
      <c r="D208" s="40"/>
      <c r="E208" s="40"/>
      <c r="F208" s="40"/>
      <c r="G208" s="40"/>
    </row>
    <row r="209">
      <c r="A209" s="28"/>
      <c r="B209" s="39"/>
      <c r="C209" s="40"/>
      <c r="D209" s="40"/>
      <c r="E209" s="40"/>
      <c r="F209" s="40"/>
      <c r="G209" s="40"/>
    </row>
    <row r="210">
      <c r="A210" s="28"/>
      <c r="B210" s="39"/>
      <c r="C210" s="40"/>
      <c r="D210" s="40"/>
      <c r="E210" s="40"/>
      <c r="F210" s="40"/>
      <c r="G210" s="40"/>
    </row>
    <row r="211">
      <c r="A211" s="28"/>
      <c r="B211" s="39"/>
      <c r="C211" s="40"/>
      <c r="D211" s="40"/>
      <c r="E211" s="40"/>
      <c r="F211" s="40"/>
      <c r="G211" s="40"/>
    </row>
    <row r="212">
      <c r="A212" s="28"/>
      <c r="B212" s="39"/>
      <c r="C212" s="40"/>
      <c r="D212" s="40"/>
      <c r="E212" s="40"/>
      <c r="F212" s="40"/>
      <c r="G212" s="40"/>
    </row>
    <row r="213">
      <c r="A213" s="28"/>
      <c r="B213" s="39"/>
      <c r="C213" s="40"/>
      <c r="D213" s="40"/>
      <c r="E213" s="40"/>
      <c r="F213" s="40"/>
      <c r="G213" s="40"/>
    </row>
    <row r="214">
      <c r="A214" s="28"/>
      <c r="B214" s="39"/>
      <c r="C214" s="40"/>
      <c r="D214" s="40"/>
      <c r="E214" s="40"/>
      <c r="F214" s="40"/>
      <c r="G214" s="40"/>
    </row>
    <row r="215">
      <c r="A215" s="28"/>
      <c r="B215" s="39"/>
      <c r="C215" s="40"/>
      <c r="D215" s="40"/>
      <c r="E215" s="40"/>
      <c r="F215" s="40"/>
      <c r="G215" s="40"/>
    </row>
    <row r="216">
      <c r="A216" s="28"/>
      <c r="B216" s="39"/>
      <c r="C216" s="40"/>
      <c r="D216" s="40"/>
      <c r="E216" s="40"/>
      <c r="F216" s="40"/>
      <c r="G216" s="40"/>
    </row>
    <row r="217">
      <c r="A217" s="28"/>
      <c r="B217" s="39"/>
      <c r="C217" s="40"/>
      <c r="D217" s="40"/>
      <c r="E217" s="40"/>
      <c r="F217" s="40"/>
      <c r="G217" s="40"/>
    </row>
    <row r="218">
      <c r="A218" s="28"/>
      <c r="B218" s="39"/>
      <c r="C218" s="40"/>
      <c r="D218" s="40"/>
      <c r="E218" s="40"/>
      <c r="F218" s="40"/>
      <c r="G218" s="40"/>
    </row>
    <row r="219">
      <c r="A219" s="28"/>
      <c r="B219" s="39"/>
      <c r="C219" s="40"/>
      <c r="D219" s="40"/>
      <c r="E219" s="40"/>
      <c r="F219" s="40"/>
      <c r="G219" s="40"/>
    </row>
    <row r="220">
      <c r="A220" s="28"/>
      <c r="B220" s="39"/>
      <c r="C220" s="40"/>
      <c r="D220" s="40"/>
      <c r="E220" s="40"/>
      <c r="F220" s="40"/>
      <c r="G220" s="40"/>
    </row>
    <row r="221">
      <c r="A221" s="28"/>
      <c r="B221" s="39"/>
      <c r="C221" s="40"/>
      <c r="D221" s="40"/>
      <c r="E221" s="40"/>
      <c r="F221" s="40"/>
      <c r="G221" s="40"/>
    </row>
    <row r="222">
      <c r="A222" s="28"/>
      <c r="B222" s="39"/>
      <c r="C222" s="40"/>
      <c r="D222" s="40"/>
      <c r="E222" s="40"/>
      <c r="F222" s="40"/>
      <c r="G222" s="40"/>
    </row>
    <row r="223">
      <c r="A223" s="28"/>
      <c r="B223" s="39"/>
      <c r="C223" s="40"/>
      <c r="D223" s="40"/>
      <c r="E223" s="40"/>
      <c r="F223" s="40"/>
      <c r="G223" s="40"/>
    </row>
    <row r="224">
      <c r="A224" s="28"/>
      <c r="B224" s="39"/>
      <c r="C224" s="40"/>
      <c r="D224" s="40"/>
      <c r="E224" s="40"/>
      <c r="F224" s="40"/>
      <c r="G224" s="40"/>
    </row>
    <row r="225">
      <c r="A225" s="28"/>
      <c r="B225" s="39"/>
      <c r="C225" s="40"/>
      <c r="D225" s="40"/>
      <c r="E225" s="40"/>
      <c r="F225" s="40"/>
      <c r="G225" s="40"/>
    </row>
    <row r="226">
      <c r="A226" s="28"/>
      <c r="B226" s="39"/>
      <c r="C226" s="40"/>
      <c r="D226" s="40"/>
      <c r="E226" s="40"/>
      <c r="F226" s="40"/>
      <c r="G226" s="40"/>
    </row>
    <row r="227">
      <c r="A227" s="28"/>
      <c r="B227" s="39"/>
      <c r="C227" s="40"/>
      <c r="D227" s="40"/>
      <c r="E227" s="40"/>
      <c r="F227" s="40"/>
      <c r="G227" s="40"/>
    </row>
    <row r="228">
      <c r="A228" s="28"/>
      <c r="B228" s="39"/>
      <c r="C228" s="40"/>
      <c r="D228" s="40"/>
      <c r="E228" s="40"/>
      <c r="F228" s="40"/>
      <c r="G228" s="40"/>
    </row>
    <row r="229">
      <c r="A229" s="28"/>
      <c r="B229" s="39"/>
      <c r="C229" s="40"/>
      <c r="D229" s="40"/>
      <c r="E229" s="40"/>
      <c r="F229" s="40"/>
      <c r="G229" s="40"/>
    </row>
    <row r="230">
      <c r="A230" s="28"/>
      <c r="B230" s="39"/>
      <c r="C230" s="40"/>
      <c r="D230" s="40"/>
      <c r="E230" s="40"/>
      <c r="F230" s="40"/>
      <c r="G230" s="40"/>
    </row>
    <row r="231">
      <c r="A231" s="28"/>
      <c r="B231" s="39"/>
      <c r="C231" s="40"/>
      <c r="D231" s="40"/>
      <c r="E231" s="40"/>
      <c r="F231" s="40"/>
      <c r="G231" s="40"/>
    </row>
    <row r="232">
      <c r="A232" s="28"/>
      <c r="B232" s="39"/>
      <c r="C232" s="40"/>
      <c r="D232" s="40"/>
      <c r="E232" s="40"/>
      <c r="F232" s="40"/>
      <c r="G232" s="40"/>
    </row>
    <row r="233">
      <c r="A233" s="28"/>
      <c r="B233" s="39"/>
      <c r="C233" s="40"/>
      <c r="D233" s="40"/>
      <c r="E233" s="40"/>
      <c r="F233" s="40"/>
      <c r="G233" s="40"/>
    </row>
    <row r="234">
      <c r="A234" s="28"/>
      <c r="B234" s="39"/>
      <c r="C234" s="40"/>
      <c r="D234" s="40"/>
      <c r="E234" s="40"/>
      <c r="F234" s="40"/>
      <c r="G234" s="40"/>
    </row>
    <row r="235">
      <c r="A235" s="28"/>
      <c r="B235" s="39"/>
      <c r="C235" s="40"/>
      <c r="D235" s="40"/>
      <c r="E235" s="40"/>
      <c r="F235" s="40"/>
      <c r="G235" s="40"/>
    </row>
    <row r="236">
      <c r="A236" s="28"/>
      <c r="B236" s="39"/>
      <c r="C236" s="40"/>
      <c r="D236" s="40"/>
      <c r="E236" s="40"/>
      <c r="F236" s="40"/>
      <c r="G236" s="40"/>
    </row>
    <row r="237">
      <c r="A237" s="28"/>
      <c r="B237" s="39"/>
      <c r="C237" s="40"/>
      <c r="D237" s="40"/>
      <c r="E237" s="40"/>
      <c r="F237" s="40"/>
      <c r="G237" s="40"/>
    </row>
    <row r="238">
      <c r="A238" s="28"/>
      <c r="B238" s="39"/>
      <c r="C238" s="40"/>
      <c r="D238" s="40"/>
      <c r="E238" s="40"/>
      <c r="F238" s="40"/>
      <c r="G238" s="40"/>
    </row>
    <row r="239">
      <c r="A239" s="28"/>
      <c r="B239" s="39"/>
      <c r="C239" s="40"/>
      <c r="D239" s="40"/>
      <c r="E239" s="40"/>
      <c r="F239" s="40"/>
      <c r="G239" s="40"/>
    </row>
    <row r="240">
      <c r="A240" s="28"/>
      <c r="B240" s="39"/>
      <c r="C240" s="40"/>
      <c r="D240" s="40"/>
      <c r="E240" s="40"/>
      <c r="F240" s="40"/>
      <c r="G240" s="40"/>
    </row>
    <row r="241">
      <c r="A241" s="28"/>
      <c r="B241" s="39"/>
      <c r="C241" s="40"/>
      <c r="D241" s="40"/>
      <c r="E241" s="40"/>
      <c r="F241" s="40"/>
      <c r="G241" s="40"/>
    </row>
    <row r="242">
      <c r="A242" s="28"/>
      <c r="B242" s="39"/>
      <c r="C242" s="40"/>
      <c r="D242" s="40"/>
      <c r="E242" s="40"/>
      <c r="F242" s="40"/>
      <c r="G242" s="40"/>
    </row>
    <row r="243">
      <c r="A243" s="28"/>
      <c r="B243" s="39"/>
      <c r="C243" s="40"/>
      <c r="D243" s="40"/>
      <c r="E243" s="40"/>
      <c r="F243" s="40"/>
      <c r="G243" s="40"/>
    </row>
    <row r="244">
      <c r="A244" s="28"/>
      <c r="B244" s="39"/>
      <c r="C244" s="40"/>
      <c r="D244" s="40"/>
      <c r="E244" s="40"/>
      <c r="F244" s="40"/>
      <c r="G244" s="40"/>
    </row>
    <row r="245">
      <c r="A245" s="28"/>
      <c r="B245" s="39"/>
      <c r="C245" s="40"/>
      <c r="D245" s="40"/>
      <c r="E245" s="40"/>
      <c r="F245" s="40"/>
      <c r="G245" s="40"/>
    </row>
    <row r="246">
      <c r="A246" s="28"/>
      <c r="B246" s="39"/>
      <c r="C246" s="40"/>
      <c r="D246" s="40"/>
      <c r="E246" s="40"/>
      <c r="F246" s="40"/>
      <c r="G246" s="40"/>
    </row>
    <row r="247">
      <c r="A247" s="28"/>
      <c r="B247" s="39"/>
      <c r="C247" s="40"/>
      <c r="D247" s="40"/>
      <c r="E247" s="40"/>
      <c r="F247" s="40"/>
      <c r="G247" s="40"/>
    </row>
    <row r="248">
      <c r="A248" s="28"/>
      <c r="B248" s="39"/>
      <c r="C248" s="40"/>
      <c r="D248" s="40"/>
      <c r="E248" s="40"/>
      <c r="F248" s="40"/>
      <c r="G248" s="40"/>
    </row>
    <row r="249">
      <c r="A249" s="28"/>
      <c r="B249" s="39"/>
      <c r="C249" s="40"/>
      <c r="D249" s="40"/>
      <c r="E249" s="40"/>
      <c r="F249" s="40"/>
      <c r="G249" s="40"/>
    </row>
    <row r="250">
      <c r="A250" s="28"/>
      <c r="B250" s="39"/>
      <c r="C250" s="40"/>
      <c r="D250" s="40"/>
      <c r="E250" s="40"/>
      <c r="F250" s="40"/>
      <c r="G250" s="40"/>
    </row>
    <row r="251">
      <c r="A251" s="28"/>
      <c r="B251" s="39"/>
      <c r="C251" s="40"/>
      <c r="D251" s="40"/>
      <c r="E251" s="40"/>
      <c r="F251" s="40"/>
      <c r="G251" s="40"/>
    </row>
    <row r="252">
      <c r="A252" s="28"/>
      <c r="B252" s="39"/>
      <c r="C252" s="40"/>
      <c r="D252" s="40"/>
      <c r="E252" s="40"/>
      <c r="F252" s="40"/>
      <c r="G252" s="40"/>
    </row>
    <row r="253">
      <c r="A253" s="28"/>
      <c r="B253" s="39"/>
      <c r="C253" s="40"/>
      <c r="D253" s="40"/>
      <c r="E253" s="40"/>
      <c r="F253" s="40"/>
      <c r="G253" s="40"/>
    </row>
    <row r="254">
      <c r="A254" s="28"/>
      <c r="B254" s="39"/>
      <c r="C254" s="40"/>
      <c r="D254" s="40"/>
      <c r="E254" s="40"/>
      <c r="F254" s="40"/>
      <c r="G254" s="40"/>
    </row>
    <row r="255">
      <c r="A255" s="28"/>
      <c r="B255" s="39"/>
      <c r="C255" s="40"/>
      <c r="D255" s="40"/>
      <c r="E255" s="40"/>
      <c r="F255" s="40"/>
      <c r="G255" s="40"/>
    </row>
    <row r="256">
      <c r="A256" s="28"/>
      <c r="B256" s="39"/>
      <c r="C256" s="40"/>
      <c r="D256" s="40"/>
      <c r="E256" s="40"/>
      <c r="F256" s="40"/>
      <c r="G256" s="40"/>
    </row>
    <row r="257">
      <c r="A257" s="28"/>
      <c r="B257" s="39"/>
      <c r="C257" s="40"/>
      <c r="D257" s="40"/>
      <c r="E257" s="40"/>
      <c r="F257" s="40"/>
      <c r="G257" s="40"/>
    </row>
    <row r="258">
      <c r="A258" s="28"/>
      <c r="B258" s="39"/>
      <c r="C258" s="40"/>
      <c r="D258" s="40"/>
      <c r="E258" s="40"/>
      <c r="F258" s="40"/>
      <c r="G258" s="40"/>
    </row>
    <row r="259">
      <c r="A259" s="28"/>
      <c r="B259" s="39"/>
      <c r="C259" s="40"/>
      <c r="D259" s="40"/>
      <c r="E259" s="40"/>
      <c r="F259" s="40"/>
      <c r="G259" s="40"/>
    </row>
    <row r="260">
      <c r="A260" s="28"/>
      <c r="B260" s="39"/>
      <c r="C260" s="40"/>
      <c r="D260" s="40"/>
      <c r="E260" s="40"/>
      <c r="F260" s="40"/>
      <c r="G260" s="40"/>
    </row>
    <row r="261">
      <c r="A261" s="28"/>
      <c r="B261" s="39"/>
      <c r="C261" s="40"/>
      <c r="D261" s="40"/>
      <c r="E261" s="40"/>
      <c r="F261" s="40"/>
      <c r="G261" s="40"/>
    </row>
    <row r="262">
      <c r="A262" s="28"/>
      <c r="B262" s="39"/>
      <c r="C262" s="40"/>
      <c r="D262" s="40"/>
      <c r="E262" s="40"/>
      <c r="F262" s="40"/>
      <c r="G262" s="40"/>
    </row>
    <row r="263">
      <c r="A263" s="28"/>
      <c r="B263" s="39"/>
      <c r="C263" s="40"/>
      <c r="D263" s="40"/>
      <c r="E263" s="40"/>
      <c r="F263" s="40"/>
      <c r="G263" s="40"/>
    </row>
    <row r="264">
      <c r="A264" s="28"/>
      <c r="B264" s="39"/>
      <c r="C264" s="40"/>
      <c r="D264" s="40"/>
      <c r="E264" s="40"/>
      <c r="F264" s="40"/>
      <c r="G264" s="40"/>
    </row>
    <row r="265">
      <c r="A265" s="28"/>
      <c r="B265" s="39"/>
      <c r="C265" s="40"/>
      <c r="D265" s="40"/>
      <c r="E265" s="40"/>
      <c r="F265" s="40"/>
      <c r="G265" s="40"/>
    </row>
    <row r="266">
      <c r="A266" s="28"/>
      <c r="B266" s="39"/>
      <c r="C266" s="40"/>
      <c r="D266" s="40"/>
      <c r="E266" s="40"/>
      <c r="F266" s="40"/>
      <c r="G266" s="40"/>
    </row>
    <row r="267">
      <c r="A267" s="28"/>
      <c r="B267" s="39"/>
      <c r="C267" s="40"/>
      <c r="D267" s="40"/>
      <c r="E267" s="40"/>
      <c r="F267" s="40"/>
      <c r="G267" s="40"/>
    </row>
    <row r="268">
      <c r="A268" s="28"/>
      <c r="B268" s="39"/>
      <c r="C268" s="40"/>
      <c r="D268" s="40"/>
      <c r="E268" s="40"/>
      <c r="F268" s="40"/>
      <c r="G268" s="40"/>
    </row>
    <row r="269">
      <c r="A269" s="28"/>
      <c r="B269" s="39"/>
      <c r="C269" s="40"/>
      <c r="D269" s="40"/>
      <c r="E269" s="40"/>
      <c r="F269" s="40"/>
      <c r="G269" s="40"/>
    </row>
    <row r="270">
      <c r="A270" s="28"/>
      <c r="B270" s="39"/>
      <c r="C270" s="40"/>
      <c r="D270" s="40"/>
      <c r="E270" s="40"/>
      <c r="F270" s="40"/>
      <c r="G270" s="40"/>
    </row>
    <row r="271">
      <c r="A271" s="28"/>
      <c r="B271" s="39"/>
      <c r="C271" s="40"/>
      <c r="D271" s="40"/>
      <c r="E271" s="40"/>
      <c r="F271" s="40"/>
      <c r="G271" s="40"/>
    </row>
    <row r="272">
      <c r="A272" s="28"/>
      <c r="B272" s="39"/>
      <c r="C272" s="40"/>
      <c r="D272" s="40"/>
      <c r="E272" s="40"/>
      <c r="F272" s="40"/>
      <c r="G272" s="40"/>
    </row>
    <row r="273">
      <c r="A273" s="28"/>
      <c r="B273" s="39"/>
      <c r="C273" s="40"/>
      <c r="D273" s="40"/>
      <c r="E273" s="40"/>
      <c r="F273" s="40"/>
      <c r="G273" s="40"/>
    </row>
    <row r="274">
      <c r="A274" s="28"/>
      <c r="B274" s="39"/>
      <c r="C274" s="40"/>
      <c r="D274" s="40"/>
      <c r="E274" s="40"/>
      <c r="F274" s="40"/>
      <c r="G274" s="40"/>
    </row>
    <row r="275">
      <c r="A275" s="28"/>
      <c r="B275" s="39"/>
      <c r="C275" s="40"/>
      <c r="D275" s="40"/>
      <c r="E275" s="40"/>
      <c r="F275" s="40"/>
      <c r="G275" s="40"/>
    </row>
    <row r="276">
      <c r="A276" s="28"/>
      <c r="B276" s="39"/>
      <c r="C276" s="40"/>
      <c r="D276" s="40"/>
      <c r="E276" s="40"/>
      <c r="F276" s="40"/>
      <c r="G276" s="40"/>
    </row>
    <row r="277">
      <c r="A277" s="28"/>
      <c r="B277" s="39"/>
      <c r="C277" s="40"/>
      <c r="D277" s="40"/>
      <c r="E277" s="40"/>
      <c r="F277" s="40"/>
      <c r="G277" s="40"/>
    </row>
    <row r="278">
      <c r="A278" s="28"/>
      <c r="B278" s="39"/>
      <c r="C278" s="40"/>
      <c r="D278" s="40"/>
      <c r="E278" s="40"/>
      <c r="F278" s="40"/>
      <c r="G278" s="40"/>
    </row>
    <row r="279">
      <c r="A279" s="28"/>
      <c r="B279" s="39"/>
      <c r="C279" s="40"/>
      <c r="D279" s="40"/>
      <c r="E279" s="40"/>
      <c r="F279" s="40"/>
      <c r="G279" s="40"/>
    </row>
    <row r="280">
      <c r="A280" s="28"/>
      <c r="B280" s="39"/>
      <c r="C280" s="40"/>
      <c r="D280" s="40"/>
      <c r="E280" s="40"/>
      <c r="F280" s="40"/>
      <c r="G280" s="40"/>
    </row>
    <row r="281">
      <c r="A281" s="28"/>
      <c r="B281" s="39"/>
      <c r="C281" s="40"/>
      <c r="D281" s="40"/>
      <c r="E281" s="40"/>
      <c r="F281" s="40"/>
      <c r="G281" s="40"/>
    </row>
    <row r="282">
      <c r="A282" s="28"/>
      <c r="B282" s="39"/>
      <c r="C282" s="40"/>
      <c r="D282" s="40"/>
      <c r="E282" s="40"/>
      <c r="F282" s="40"/>
      <c r="G282" s="40"/>
    </row>
    <row r="283">
      <c r="A283" s="28"/>
      <c r="B283" s="39"/>
      <c r="C283" s="40"/>
      <c r="D283" s="40"/>
      <c r="E283" s="40"/>
      <c r="F283" s="40"/>
      <c r="G283" s="40"/>
    </row>
    <row r="284">
      <c r="A284" s="28"/>
      <c r="B284" s="39"/>
      <c r="C284" s="40"/>
      <c r="D284" s="40"/>
      <c r="E284" s="40"/>
      <c r="F284" s="40"/>
      <c r="G284" s="40"/>
    </row>
    <row r="285">
      <c r="A285" s="28"/>
      <c r="B285" s="39"/>
      <c r="C285" s="40"/>
      <c r="D285" s="40"/>
      <c r="E285" s="40"/>
      <c r="F285" s="40"/>
      <c r="G285" s="40"/>
    </row>
    <row r="286">
      <c r="A286" s="28"/>
      <c r="B286" s="39"/>
      <c r="C286" s="40"/>
      <c r="D286" s="40"/>
      <c r="E286" s="40"/>
      <c r="F286" s="40"/>
      <c r="G286" s="40"/>
    </row>
    <row r="287">
      <c r="A287" s="28"/>
      <c r="B287" s="39"/>
      <c r="C287" s="40"/>
      <c r="D287" s="40"/>
      <c r="E287" s="40"/>
      <c r="F287" s="40"/>
      <c r="G287" s="40"/>
    </row>
    <row r="288">
      <c r="A288" s="28"/>
      <c r="B288" s="39"/>
      <c r="C288" s="40"/>
      <c r="D288" s="40"/>
      <c r="E288" s="40"/>
      <c r="F288" s="40"/>
      <c r="G288" s="40"/>
    </row>
    <row r="289">
      <c r="A289" s="28"/>
      <c r="B289" s="39"/>
      <c r="C289" s="40"/>
      <c r="D289" s="40"/>
      <c r="E289" s="40"/>
      <c r="F289" s="40"/>
      <c r="G289" s="40"/>
    </row>
    <row r="290">
      <c r="A290" s="28"/>
      <c r="B290" s="39"/>
      <c r="C290" s="40"/>
      <c r="D290" s="40"/>
      <c r="E290" s="40"/>
      <c r="F290" s="40"/>
      <c r="G290" s="40"/>
    </row>
    <row r="291">
      <c r="A291" s="28"/>
      <c r="B291" s="39"/>
      <c r="C291" s="40"/>
      <c r="D291" s="40"/>
      <c r="E291" s="40"/>
      <c r="F291" s="40"/>
      <c r="G291" s="40"/>
    </row>
    <row r="292">
      <c r="A292" s="28"/>
      <c r="B292" s="39"/>
      <c r="C292" s="40"/>
      <c r="D292" s="40"/>
      <c r="E292" s="40"/>
      <c r="F292" s="40"/>
      <c r="G292" s="40"/>
    </row>
    <row r="293">
      <c r="A293" s="28"/>
      <c r="B293" s="39"/>
      <c r="C293" s="40"/>
      <c r="D293" s="40"/>
      <c r="E293" s="40"/>
      <c r="F293" s="40"/>
      <c r="G293" s="40"/>
    </row>
    <row r="294">
      <c r="A294" s="28"/>
      <c r="B294" s="39"/>
      <c r="C294" s="40"/>
      <c r="D294" s="40"/>
      <c r="E294" s="40"/>
      <c r="F294" s="40"/>
      <c r="G294" s="40"/>
    </row>
    <row r="295">
      <c r="A295" s="28"/>
      <c r="B295" s="39"/>
      <c r="C295" s="40"/>
      <c r="D295" s="40"/>
      <c r="E295" s="40"/>
      <c r="F295" s="40"/>
      <c r="G295" s="40"/>
    </row>
    <row r="296">
      <c r="A296" s="28"/>
      <c r="B296" s="39"/>
      <c r="C296" s="40"/>
      <c r="D296" s="40"/>
      <c r="E296" s="40"/>
      <c r="F296" s="40"/>
      <c r="G296" s="40"/>
    </row>
    <row r="297">
      <c r="A297" s="28"/>
      <c r="B297" s="39"/>
      <c r="C297" s="40"/>
      <c r="D297" s="40"/>
      <c r="E297" s="40"/>
      <c r="F297" s="40"/>
      <c r="G297" s="40"/>
    </row>
    <row r="298">
      <c r="A298" s="28"/>
      <c r="B298" s="39"/>
      <c r="C298" s="40"/>
      <c r="D298" s="40"/>
      <c r="E298" s="40"/>
      <c r="F298" s="40"/>
      <c r="G298" s="40"/>
    </row>
    <row r="299">
      <c r="A299" s="28"/>
      <c r="B299" s="39"/>
      <c r="C299" s="40"/>
      <c r="D299" s="40"/>
      <c r="E299" s="40"/>
      <c r="F299" s="40"/>
      <c r="G299" s="40"/>
    </row>
    <row r="300">
      <c r="A300" s="28"/>
      <c r="B300" s="39"/>
      <c r="C300" s="40"/>
      <c r="D300" s="40"/>
      <c r="E300" s="40"/>
      <c r="F300" s="40"/>
      <c r="G300" s="40"/>
    </row>
    <row r="301">
      <c r="A301" s="28"/>
      <c r="B301" s="39"/>
      <c r="C301" s="40"/>
      <c r="D301" s="40"/>
      <c r="E301" s="40"/>
      <c r="F301" s="40"/>
      <c r="G301" s="40"/>
    </row>
    <row r="302">
      <c r="A302" s="28"/>
      <c r="B302" s="39"/>
      <c r="C302" s="40"/>
      <c r="D302" s="40"/>
      <c r="E302" s="40"/>
      <c r="F302" s="40"/>
      <c r="G302" s="40"/>
    </row>
    <row r="303">
      <c r="A303" s="28"/>
      <c r="B303" s="39"/>
      <c r="C303" s="40"/>
      <c r="D303" s="40"/>
      <c r="E303" s="40"/>
      <c r="F303" s="40"/>
      <c r="G303" s="40"/>
    </row>
    <row r="304">
      <c r="A304" s="28"/>
      <c r="B304" s="39"/>
      <c r="C304" s="40"/>
      <c r="D304" s="40"/>
      <c r="E304" s="40"/>
      <c r="F304" s="40"/>
      <c r="G304" s="40"/>
    </row>
    <row r="305">
      <c r="A305" s="28"/>
      <c r="B305" s="39"/>
      <c r="C305" s="40"/>
      <c r="D305" s="40"/>
      <c r="E305" s="40"/>
      <c r="F305" s="40"/>
      <c r="G305" s="40"/>
    </row>
    <row r="306">
      <c r="A306" s="28"/>
      <c r="B306" s="39"/>
      <c r="C306" s="40"/>
      <c r="D306" s="40"/>
      <c r="E306" s="40"/>
      <c r="F306" s="40"/>
      <c r="G306" s="40"/>
    </row>
    <row r="307">
      <c r="A307" s="28"/>
      <c r="B307" s="39"/>
      <c r="C307" s="40"/>
      <c r="D307" s="40"/>
      <c r="E307" s="40"/>
      <c r="F307" s="40"/>
      <c r="G307" s="40"/>
    </row>
    <row r="308">
      <c r="A308" s="28"/>
      <c r="B308" s="39"/>
      <c r="C308" s="40"/>
      <c r="D308" s="40"/>
      <c r="E308" s="40"/>
      <c r="F308" s="40"/>
      <c r="G308" s="40"/>
    </row>
    <row r="309">
      <c r="A309" s="28"/>
      <c r="B309" s="39"/>
      <c r="C309" s="40"/>
      <c r="D309" s="40"/>
      <c r="E309" s="40"/>
      <c r="F309" s="40"/>
      <c r="G309" s="40"/>
    </row>
    <row r="310">
      <c r="A310" s="28"/>
      <c r="B310" s="39"/>
      <c r="C310" s="40"/>
      <c r="D310" s="40"/>
      <c r="E310" s="40"/>
      <c r="F310" s="40"/>
      <c r="G310" s="40"/>
    </row>
    <row r="311">
      <c r="A311" s="28"/>
      <c r="B311" s="39"/>
      <c r="C311" s="40"/>
      <c r="D311" s="40"/>
      <c r="E311" s="40"/>
      <c r="F311" s="40"/>
      <c r="G311" s="40"/>
    </row>
    <row r="312">
      <c r="A312" s="28"/>
      <c r="B312" s="39"/>
      <c r="C312" s="40"/>
      <c r="D312" s="40"/>
      <c r="E312" s="40"/>
      <c r="F312" s="40"/>
      <c r="G312" s="40"/>
    </row>
    <row r="313">
      <c r="A313" s="28"/>
      <c r="B313" s="39"/>
      <c r="C313" s="40"/>
      <c r="D313" s="40"/>
      <c r="E313" s="40"/>
      <c r="F313" s="40"/>
      <c r="G313" s="40"/>
    </row>
    <row r="314">
      <c r="A314" s="28"/>
      <c r="B314" s="39"/>
      <c r="C314" s="40"/>
      <c r="D314" s="40"/>
      <c r="E314" s="40"/>
      <c r="F314" s="40"/>
      <c r="G314" s="40"/>
    </row>
    <row r="315">
      <c r="A315" s="28"/>
      <c r="B315" s="39"/>
      <c r="C315" s="40"/>
      <c r="D315" s="40"/>
      <c r="E315" s="40"/>
      <c r="F315" s="40"/>
      <c r="G315" s="40"/>
    </row>
    <row r="316">
      <c r="A316" s="28"/>
      <c r="B316" s="39"/>
      <c r="C316" s="40"/>
      <c r="D316" s="40"/>
      <c r="E316" s="40"/>
      <c r="F316" s="40"/>
      <c r="G316" s="40"/>
    </row>
    <row r="317">
      <c r="A317" s="28"/>
      <c r="B317" s="39"/>
      <c r="C317" s="40"/>
      <c r="D317" s="40"/>
      <c r="E317" s="40"/>
      <c r="F317" s="40"/>
      <c r="G317" s="40"/>
    </row>
    <row r="318">
      <c r="A318" s="28"/>
      <c r="B318" s="39"/>
      <c r="C318" s="40"/>
      <c r="D318" s="40"/>
      <c r="E318" s="40"/>
      <c r="F318" s="40"/>
      <c r="G318" s="40"/>
    </row>
    <row r="319">
      <c r="A319" s="28"/>
      <c r="B319" s="39"/>
      <c r="C319" s="40"/>
      <c r="D319" s="40"/>
      <c r="E319" s="40"/>
      <c r="F319" s="40"/>
      <c r="G319" s="40"/>
    </row>
    <row r="320">
      <c r="A320" s="28"/>
      <c r="B320" s="39"/>
      <c r="C320" s="40"/>
      <c r="D320" s="40"/>
      <c r="E320" s="40"/>
      <c r="F320" s="40"/>
      <c r="G320" s="40"/>
    </row>
    <row r="321">
      <c r="A321" s="28"/>
      <c r="B321" s="39"/>
      <c r="C321" s="40"/>
      <c r="D321" s="40"/>
      <c r="E321" s="40"/>
      <c r="F321" s="40"/>
      <c r="G321" s="40"/>
    </row>
    <row r="322">
      <c r="A322" s="28"/>
      <c r="B322" s="39"/>
      <c r="C322" s="40"/>
      <c r="D322" s="40"/>
      <c r="E322" s="40"/>
      <c r="F322" s="40"/>
      <c r="G322" s="40"/>
    </row>
    <row r="323">
      <c r="A323" s="28"/>
      <c r="B323" s="39"/>
      <c r="C323" s="40"/>
      <c r="D323" s="40"/>
      <c r="E323" s="40"/>
      <c r="F323" s="40"/>
      <c r="G323" s="40"/>
    </row>
    <row r="324">
      <c r="A324" s="28"/>
      <c r="B324" s="39"/>
      <c r="C324" s="40"/>
      <c r="D324" s="40"/>
      <c r="E324" s="40"/>
      <c r="F324" s="40"/>
      <c r="G324" s="40"/>
    </row>
    <row r="325">
      <c r="A325" s="28"/>
      <c r="B325" s="39"/>
      <c r="C325" s="40"/>
      <c r="D325" s="40"/>
      <c r="E325" s="40"/>
      <c r="F325" s="40"/>
      <c r="G325" s="40"/>
    </row>
    <row r="326">
      <c r="A326" s="28"/>
      <c r="B326" s="39"/>
      <c r="C326" s="40"/>
      <c r="D326" s="40"/>
      <c r="E326" s="40"/>
      <c r="F326" s="40"/>
      <c r="G326" s="40"/>
    </row>
    <row r="327">
      <c r="A327" s="28"/>
      <c r="B327" s="39"/>
      <c r="C327" s="40"/>
      <c r="D327" s="40"/>
      <c r="E327" s="40"/>
      <c r="F327" s="40"/>
      <c r="G327" s="40"/>
    </row>
    <row r="328">
      <c r="A328" s="28"/>
      <c r="B328" s="39"/>
      <c r="C328" s="40"/>
      <c r="D328" s="40"/>
      <c r="E328" s="40"/>
      <c r="F328" s="40"/>
      <c r="G328" s="40"/>
    </row>
    <row r="329">
      <c r="A329" s="28"/>
      <c r="B329" s="39"/>
      <c r="C329" s="40"/>
      <c r="D329" s="40"/>
      <c r="E329" s="40"/>
      <c r="F329" s="40"/>
      <c r="G329" s="40"/>
    </row>
    <row r="330">
      <c r="A330" s="28"/>
      <c r="B330" s="39"/>
      <c r="C330" s="40"/>
      <c r="D330" s="40"/>
      <c r="E330" s="40"/>
      <c r="F330" s="40"/>
      <c r="G330" s="40"/>
    </row>
    <row r="331">
      <c r="A331" s="28"/>
      <c r="B331" s="39"/>
      <c r="C331" s="40"/>
      <c r="D331" s="40"/>
      <c r="E331" s="40"/>
      <c r="F331" s="40"/>
      <c r="G331" s="40"/>
    </row>
    <row r="332">
      <c r="A332" s="28"/>
      <c r="B332" s="39"/>
      <c r="C332" s="40"/>
      <c r="D332" s="40"/>
      <c r="E332" s="40"/>
      <c r="F332" s="40"/>
      <c r="G332" s="40"/>
    </row>
    <row r="333">
      <c r="A333" s="28"/>
      <c r="B333" s="39"/>
      <c r="C333" s="40"/>
      <c r="D333" s="40"/>
      <c r="E333" s="40"/>
      <c r="F333" s="40"/>
      <c r="G333" s="40"/>
    </row>
    <row r="334">
      <c r="A334" s="28"/>
      <c r="B334" s="39"/>
      <c r="C334" s="40"/>
      <c r="D334" s="40"/>
      <c r="E334" s="40"/>
      <c r="F334" s="40"/>
      <c r="G334" s="40"/>
    </row>
    <row r="335">
      <c r="A335" s="28"/>
      <c r="B335" s="39"/>
      <c r="C335" s="40"/>
      <c r="D335" s="40"/>
      <c r="E335" s="40"/>
      <c r="F335" s="40"/>
      <c r="G335" s="40"/>
    </row>
    <row r="336">
      <c r="A336" s="28"/>
      <c r="B336" s="39"/>
      <c r="C336" s="40"/>
      <c r="D336" s="40"/>
      <c r="E336" s="40"/>
      <c r="F336" s="40"/>
      <c r="G336" s="40"/>
    </row>
    <row r="337">
      <c r="A337" s="28"/>
      <c r="B337" s="39"/>
      <c r="C337" s="40"/>
      <c r="D337" s="40"/>
      <c r="E337" s="40"/>
      <c r="F337" s="40"/>
      <c r="G337" s="40"/>
    </row>
    <row r="338">
      <c r="A338" s="28"/>
      <c r="B338" s="39"/>
      <c r="C338" s="40"/>
      <c r="D338" s="40"/>
      <c r="E338" s="40"/>
      <c r="F338" s="40"/>
      <c r="G338" s="40"/>
    </row>
    <row r="339">
      <c r="A339" s="28"/>
      <c r="B339" s="39"/>
      <c r="C339" s="40"/>
      <c r="D339" s="40"/>
      <c r="E339" s="40"/>
      <c r="F339" s="40"/>
      <c r="G339" s="40"/>
    </row>
    <row r="340">
      <c r="A340" s="28"/>
      <c r="B340" s="39"/>
      <c r="C340" s="40"/>
      <c r="D340" s="40"/>
      <c r="E340" s="40"/>
      <c r="F340" s="40"/>
      <c r="G340" s="40"/>
    </row>
    <row r="341">
      <c r="A341" s="28"/>
      <c r="B341" s="39"/>
      <c r="C341" s="40"/>
      <c r="D341" s="40"/>
      <c r="E341" s="40"/>
      <c r="F341" s="40"/>
      <c r="G341" s="40"/>
    </row>
    <row r="342">
      <c r="A342" s="28"/>
      <c r="B342" s="39"/>
      <c r="C342" s="40"/>
      <c r="D342" s="40"/>
      <c r="E342" s="40"/>
      <c r="F342" s="40"/>
      <c r="G342" s="40"/>
    </row>
    <row r="343">
      <c r="A343" s="28"/>
      <c r="B343" s="39"/>
      <c r="C343" s="40"/>
      <c r="D343" s="40"/>
      <c r="E343" s="40"/>
      <c r="F343" s="40"/>
      <c r="G343" s="40"/>
    </row>
    <row r="344">
      <c r="A344" s="28"/>
      <c r="B344" s="39"/>
      <c r="C344" s="40"/>
      <c r="D344" s="40"/>
      <c r="E344" s="40"/>
      <c r="F344" s="40"/>
      <c r="G344" s="40"/>
    </row>
    <row r="345">
      <c r="A345" s="28"/>
      <c r="B345" s="39"/>
      <c r="C345" s="40"/>
      <c r="D345" s="40"/>
      <c r="E345" s="40"/>
      <c r="F345" s="40"/>
      <c r="G345" s="40"/>
    </row>
    <row r="346">
      <c r="A346" s="28"/>
      <c r="B346" s="39"/>
      <c r="C346" s="40"/>
      <c r="D346" s="40"/>
      <c r="E346" s="40"/>
      <c r="F346" s="40"/>
      <c r="G346" s="40"/>
    </row>
    <row r="347">
      <c r="A347" s="28"/>
      <c r="B347" s="39"/>
      <c r="C347" s="40"/>
      <c r="D347" s="40"/>
      <c r="E347" s="40"/>
      <c r="F347" s="40"/>
      <c r="G347" s="40"/>
    </row>
    <row r="348">
      <c r="A348" s="28"/>
      <c r="B348" s="39"/>
      <c r="C348" s="40"/>
      <c r="D348" s="40"/>
      <c r="E348" s="40"/>
      <c r="F348" s="40"/>
      <c r="G348" s="40"/>
    </row>
    <row r="349">
      <c r="A349" s="28"/>
      <c r="B349" s="39"/>
      <c r="C349" s="40"/>
      <c r="D349" s="40"/>
      <c r="E349" s="40"/>
      <c r="F349" s="40"/>
      <c r="G349" s="40"/>
    </row>
    <row r="350">
      <c r="A350" s="28"/>
      <c r="B350" s="39"/>
      <c r="C350" s="40"/>
      <c r="D350" s="40"/>
      <c r="E350" s="40"/>
      <c r="F350" s="40"/>
      <c r="G350" s="40"/>
    </row>
    <row r="351">
      <c r="A351" s="28"/>
      <c r="B351" s="39"/>
      <c r="C351" s="40"/>
      <c r="D351" s="40"/>
      <c r="E351" s="40"/>
      <c r="F351" s="40"/>
      <c r="G351" s="40"/>
    </row>
    <row r="352">
      <c r="A352" s="28"/>
      <c r="B352" s="39"/>
      <c r="C352" s="40"/>
      <c r="D352" s="40"/>
      <c r="E352" s="40"/>
      <c r="F352" s="40"/>
      <c r="G352" s="40"/>
    </row>
    <row r="353">
      <c r="A353" s="28"/>
      <c r="B353" s="39"/>
      <c r="C353" s="40"/>
      <c r="D353" s="40"/>
      <c r="E353" s="40"/>
      <c r="F353" s="40"/>
      <c r="G353" s="40"/>
    </row>
    <row r="354">
      <c r="A354" s="28"/>
      <c r="B354" s="39"/>
      <c r="C354" s="40"/>
      <c r="D354" s="40"/>
      <c r="E354" s="40"/>
      <c r="F354" s="40"/>
      <c r="G354" s="40"/>
    </row>
    <row r="355">
      <c r="A355" s="28"/>
      <c r="B355" s="39"/>
      <c r="C355" s="40"/>
      <c r="D355" s="40"/>
      <c r="E355" s="40"/>
      <c r="F355" s="40"/>
      <c r="G355" s="40"/>
    </row>
    <row r="356">
      <c r="A356" s="28"/>
      <c r="B356" s="39"/>
      <c r="C356" s="40"/>
      <c r="D356" s="40"/>
      <c r="E356" s="40"/>
      <c r="F356" s="40"/>
      <c r="G356" s="40"/>
    </row>
    <row r="357">
      <c r="A357" s="28"/>
      <c r="B357" s="39"/>
      <c r="C357" s="40"/>
      <c r="D357" s="40"/>
      <c r="E357" s="40"/>
      <c r="F357" s="40"/>
      <c r="G357" s="40"/>
    </row>
    <row r="358">
      <c r="A358" s="28"/>
      <c r="B358" s="39"/>
      <c r="C358" s="40"/>
      <c r="D358" s="40"/>
      <c r="E358" s="40"/>
      <c r="F358" s="40"/>
      <c r="G358" s="40"/>
    </row>
    <row r="359">
      <c r="A359" s="28"/>
      <c r="B359" s="39"/>
      <c r="C359" s="40"/>
      <c r="D359" s="40"/>
      <c r="E359" s="40"/>
      <c r="F359" s="40"/>
      <c r="G359" s="40"/>
    </row>
    <row r="360">
      <c r="A360" s="28"/>
      <c r="B360" s="39"/>
      <c r="C360" s="40"/>
      <c r="D360" s="40"/>
      <c r="E360" s="40"/>
      <c r="F360" s="40"/>
      <c r="G360" s="40"/>
    </row>
    <row r="361">
      <c r="A361" s="28"/>
      <c r="B361" s="39"/>
      <c r="C361" s="40"/>
      <c r="D361" s="40"/>
      <c r="E361" s="40"/>
      <c r="F361" s="40"/>
      <c r="G361" s="40"/>
    </row>
    <row r="362">
      <c r="A362" s="28"/>
      <c r="B362" s="39"/>
      <c r="C362" s="40"/>
      <c r="D362" s="40"/>
      <c r="E362" s="40"/>
      <c r="F362" s="40"/>
      <c r="G362" s="40"/>
    </row>
    <row r="363">
      <c r="A363" s="28"/>
      <c r="B363" s="39"/>
      <c r="C363" s="40"/>
      <c r="D363" s="40"/>
      <c r="E363" s="40"/>
      <c r="F363" s="40"/>
      <c r="G363" s="40"/>
    </row>
    <row r="364">
      <c r="A364" s="28"/>
      <c r="B364" s="39"/>
      <c r="C364" s="40"/>
      <c r="D364" s="40"/>
      <c r="E364" s="40"/>
      <c r="F364" s="40"/>
      <c r="G364" s="40"/>
    </row>
    <row r="365">
      <c r="A365" s="28"/>
      <c r="B365" s="39"/>
      <c r="C365" s="40"/>
      <c r="D365" s="40"/>
      <c r="E365" s="40"/>
      <c r="F365" s="40"/>
      <c r="G365" s="40"/>
    </row>
    <row r="366">
      <c r="A366" s="28"/>
      <c r="B366" s="39"/>
      <c r="C366" s="40"/>
      <c r="D366" s="40"/>
      <c r="E366" s="40"/>
      <c r="F366" s="40"/>
      <c r="G366" s="40"/>
    </row>
    <row r="367">
      <c r="A367" s="28"/>
      <c r="B367" s="39"/>
      <c r="C367" s="40"/>
      <c r="D367" s="40"/>
      <c r="E367" s="40"/>
      <c r="F367" s="40"/>
      <c r="G367" s="40"/>
    </row>
    <row r="368">
      <c r="A368" s="28"/>
      <c r="B368" s="39"/>
      <c r="C368" s="40"/>
      <c r="D368" s="40"/>
      <c r="E368" s="40"/>
      <c r="F368" s="40"/>
      <c r="G368" s="40"/>
    </row>
    <row r="369">
      <c r="A369" s="28"/>
      <c r="B369" s="39"/>
      <c r="C369" s="40"/>
      <c r="D369" s="40"/>
      <c r="E369" s="40"/>
      <c r="F369" s="40"/>
      <c r="G369" s="40"/>
    </row>
    <row r="370">
      <c r="A370" s="28"/>
      <c r="B370" s="39"/>
      <c r="C370" s="40"/>
      <c r="D370" s="40"/>
      <c r="E370" s="40"/>
      <c r="F370" s="40"/>
      <c r="G370" s="40"/>
    </row>
    <row r="371">
      <c r="A371" s="28"/>
      <c r="B371" s="39"/>
      <c r="C371" s="40"/>
      <c r="D371" s="40"/>
      <c r="E371" s="40"/>
      <c r="F371" s="40"/>
      <c r="G371" s="40"/>
    </row>
    <row r="372">
      <c r="A372" s="28"/>
      <c r="B372" s="39"/>
      <c r="C372" s="40"/>
      <c r="D372" s="40"/>
      <c r="E372" s="40"/>
      <c r="F372" s="40"/>
      <c r="G372" s="40"/>
    </row>
    <row r="373">
      <c r="A373" s="28"/>
      <c r="B373" s="39"/>
      <c r="C373" s="40"/>
      <c r="D373" s="40"/>
      <c r="E373" s="40"/>
      <c r="F373" s="40"/>
      <c r="G373" s="40"/>
    </row>
    <row r="374">
      <c r="A374" s="28"/>
      <c r="B374" s="39"/>
      <c r="C374" s="40"/>
      <c r="D374" s="40"/>
      <c r="E374" s="40"/>
      <c r="F374" s="40"/>
      <c r="G374" s="40"/>
    </row>
    <row r="375">
      <c r="A375" s="28"/>
      <c r="B375" s="39"/>
      <c r="C375" s="40"/>
      <c r="D375" s="40"/>
      <c r="E375" s="40"/>
      <c r="F375" s="40"/>
      <c r="G375" s="40"/>
    </row>
    <row r="376">
      <c r="A376" s="28"/>
      <c r="B376" s="39"/>
      <c r="C376" s="40"/>
      <c r="D376" s="40"/>
      <c r="E376" s="40"/>
      <c r="F376" s="40"/>
      <c r="G376" s="40"/>
    </row>
    <row r="377">
      <c r="A377" s="28"/>
      <c r="B377" s="39"/>
      <c r="C377" s="40"/>
      <c r="D377" s="40"/>
      <c r="E377" s="40"/>
      <c r="F377" s="40"/>
      <c r="G377" s="40"/>
    </row>
    <row r="378">
      <c r="A378" s="28"/>
      <c r="B378" s="39"/>
      <c r="C378" s="40"/>
      <c r="D378" s="40"/>
      <c r="E378" s="40"/>
      <c r="F378" s="40"/>
      <c r="G378" s="40"/>
    </row>
    <row r="379">
      <c r="A379" s="28"/>
      <c r="B379" s="39"/>
      <c r="C379" s="40"/>
      <c r="D379" s="40"/>
      <c r="E379" s="40"/>
      <c r="F379" s="40"/>
      <c r="G379" s="40"/>
    </row>
    <row r="380">
      <c r="A380" s="28"/>
      <c r="B380" s="39"/>
      <c r="C380" s="40"/>
      <c r="D380" s="40"/>
      <c r="E380" s="40"/>
      <c r="F380" s="40"/>
      <c r="G380" s="40"/>
    </row>
    <row r="381">
      <c r="A381" s="28"/>
      <c r="B381" s="39"/>
      <c r="C381" s="40"/>
      <c r="D381" s="40"/>
      <c r="E381" s="40"/>
      <c r="F381" s="40"/>
      <c r="G381" s="40"/>
    </row>
    <row r="382">
      <c r="A382" s="28"/>
      <c r="B382" s="39"/>
      <c r="C382" s="40"/>
      <c r="D382" s="40"/>
      <c r="E382" s="40"/>
      <c r="F382" s="40"/>
      <c r="G382" s="40"/>
    </row>
    <row r="383">
      <c r="A383" s="28"/>
      <c r="B383" s="39"/>
      <c r="C383" s="40"/>
      <c r="D383" s="40"/>
      <c r="E383" s="40"/>
      <c r="F383" s="40"/>
      <c r="G383" s="40"/>
    </row>
    <row r="384">
      <c r="A384" s="28"/>
      <c r="B384" s="39"/>
      <c r="C384" s="40"/>
      <c r="D384" s="40"/>
      <c r="E384" s="40"/>
      <c r="F384" s="40"/>
      <c r="G384" s="40"/>
    </row>
    <row r="385">
      <c r="A385" s="28"/>
      <c r="B385" s="39"/>
      <c r="C385" s="40"/>
      <c r="D385" s="40"/>
      <c r="E385" s="40"/>
      <c r="F385" s="40"/>
      <c r="G385" s="40"/>
    </row>
    <row r="386">
      <c r="A386" s="28"/>
      <c r="B386" s="39"/>
      <c r="C386" s="40"/>
      <c r="D386" s="40"/>
      <c r="E386" s="40"/>
      <c r="F386" s="40"/>
      <c r="G386" s="40"/>
    </row>
    <row r="387">
      <c r="A387" s="28"/>
      <c r="B387" s="39"/>
      <c r="C387" s="40"/>
      <c r="D387" s="40"/>
      <c r="E387" s="40"/>
      <c r="F387" s="40"/>
      <c r="G387" s="40"/>
    </row>
    <row r="388">
      <c r="A388" s="28"/>
      <c r="B388" s="39"/>
      <c r="C388" s="40"/>
      <c r="D388" s="40"/>
      <c r="E388" s="40"/>
      <c r="F388" s="40"/>
      <c r="G388" s="40"/>
    </row>
    <row r="389">
      <c r="A389" s="28"/>
      <c r="B389" s="39"/>
      <c r="C389" s="40"/>
      <c r="D389" s="40"/>
      <c r="E389" s="40"/>
      <c r="F389" s="40"/>
      <c r="G389" s="40"/>
    </row>
    <row r="390">
      <c r="A390" s="28"/>
      <c r="B390" s="39"/>
      <c r="C390" s="40"/>
      <c r="D390" s="40"/>
      <c r="E390" s="40"/>
      <c r="F390" s="40"/>
      <c r="G390" s="40"/>
    </row>
    <row r="391">
      <c r="A391" s="28"/>
      <c r="B391" s="39"/>
      <c r="C391" s="40"/>
      <c r="D391" s="40"/>
      <c r="E391" s="40"/>
      <c r="F391" s="40"/>
      <c r="G391" s="40"/>
    </row>
    <row r="392">
      <c r="A392" s="28"/>
      <c r="B392" s="39"/>
      <c r="C392" s="40"/>
      <c r="D392" s="40"/>
      <c r="E392" s="40"/>
      <c r="F392" s="40"/>
      <c r="G392" s="40"/>
    </row>
    <row r="393">
      <c r="A393" s="28"/>
      <c r="B393" s="39"/>
      <c r="C393" s="40"/>
      <c r="D393" s="40"/>
      <c r="E393" s="40"/>
      <c r="F393" s="40"/>
      <c r="G393" s="40"/>
    </row>
    <row r="394">
      <c r="A394" s="28"/>
      <c r="B394" s="39"/>
      <c r="C394" s="40"/>
      <c r="D394" s="40"/>
      <c r="E394" s="40"/>
      <c r="F394" s="40"/>
      <c r="G394" s="40"/>
    </row>
    <row r="395">
      <c r="A395" s="28"/>
      <c r="B395" s="39"/>
      <c r="C395" s="40"/>
      <c r="D395" s="40"/>
      <c r="E395" s="40"/>
      <c r="F395" s="40"/>
      <c r="G395" s="40"/>
    </row>
    <row r="396">
      <c r="A396" s="28"/>
      <c r="B396" s="39"/>
      <c r="C396" s="40"/>
      <c r="D396" s="40"/>
      <c r="E396" s="40"/>
      <c r="F396" s="40"/>
      <c r="G396" s="40"/>
    </row>
    <row r="397">
      <c r="A397" s="28"/>
      <c r="B397" s="39"/>
      <c r="C397" s="40"/>
      <c r="D397" s="40"/>
      <c r="E397" s="40"/>
      <c r="F397" s="40"/>
      <c r="G397" s="40"/>
    </row>
    <row r="398">
      <c r="A398" s="28"/>
      <c r="B398" s="39"/>
      <c r="C398" s="40"/>
      <c r="D398" s="40"/>
      <c r="E398" s="40"/>
      <c r="F398" s="40"/>
      <c r="G398" s="40"/>
    </row>
    <row r="399">
      <c r="A399" s="28"/>
      <c r="B399" s="39"/>
      <c r="C399" s="40"/>
      <c r="D399" s="40"/>
      <c r="E399" s="40"/>
      <c r="F399" s="40"/>
      <c r="G399" s="40"/>
    </row>
    <row r="400">
      <c r="A400" s="28"/>
      <c r="B400" s="39"/>
      <c r="C400" s="40"/>
      <c r="D400" s="40"/>
      <c r="E400" s="40"/>
      <c r="F400" s="40"/>
      <c r="G400" s="40"/>
    </row>
    <row r="401">
      <c r="A401" s="28"/>
      <c r="B401" s="39"/>
      <c r="C401" s="40"/>
      <c r="D401" s="40"/>
      <c r="E401" s="40"/>
      <c r="F401" s="40"/>
      <c r="G401" s="40"/>
    </row>
    <row r="402">
      <c r="A402" s="28"/>
      <c r="B402" s="39"/>
      <c r="C402" s="40"/>
      <c r="D402" s="40"/>
      <c r="E402" s="40"/>
      <c r="F402" s="40"/>
      <c r="G402" s="40"/>
    </row>
    <row r="403">
      <c r="A403" s="28"/>
      <c r="B403" s="39"/>
      <c r="C403" s="40"/>
      <c r="D403" s="40"/>
      <c r="E403" s="40"/>
      <c r="F403" s="40"/>
      <c r="G403" s="40"/>
    </row>
    <row r="404">
      <c r="A404" s="28"/>
      <c r="B404" s="39"/>
      <c r="C404" s="40"/>
      <c r="D404" s="40"/>
      <c r="E404" s="40"/>
      <c r="F404" s="40"/>
      <c r="G404" s="40"/>
    </row>
    <row r="405">
      <c r="A405" s="28"/>
      <c r="B405" s="39"/>
      <c r="C405" s="40"/>
      <c r="D405" s="40"/>
      <c r="E405" s="40"/>
      <c r="F405" s="40"/>
      <c r="G405" s="40"/>
    </row>
    <row r="406">
      <c r="A406" s="28"/>
      <c r="B406" s="39"/>
      <c r="C406" s="40"/>
      <c r="D406" s="40"/>
      <c r="E406" s="40"/>
      <c r="F406" s="40"/>
      <c r="G406" s="40"/>
    </row>
    <row r="407">
      <c r="A407" s="28"/>
      <c r="B407" s="39"/>
      <c r="C407" s="40"/>
      <c r="D407" s="40"/>
      <c r="E407" s="40"/>
      <c r="F407" s="40"/>
      <c r="G407" s="40"/>
    </row>
    <row r="408">
      <c r="A408" s="28"/>
      <c r="B408" s="39"/>
      <c r="C408" s="40"/>
      <c r="D408" s="40"/>
      <c r="E408" s="40"/>
      <c r="F408" s="40"/>
      <c r="G408" s="40"/>
    </row>
    <row r="409">
      <c r="A409" s="28"/>
      <c r="B409" s="39"/>
      <c r="C409" s="40"/>
      <c r="D409" s="40"/>
      <c r="E409" s="40"/>
      <c r="F409" s="40"/>
      <c r="G409" s="40"/>
    </row>
    <row r="410">
      <c r="A410" s="28"/>
      <c r="B410" s="39"/>
      <c r="C410" s="40"/>
      <c r="D410" s="40"/>
      <c r="E410" s="40"/>
      <c r="F410" s="40"/>
      <c r="G410" s="40"/>
    </row>
    <row r="411">
      <c r="A411" s="28"/>
      <c r="B411" s="39"/>
      <c r="C411" s="40"/>
      <c r="D411" s="40"/>
      <c r="E411" s="40"/>
      <c r="F411" s="40"/>
      <c r="G411" s="40"/>
    </row>
    <row r="412">
      <c r="A412" s="28"/>
      <c r="B412" s="39"/>
      <c r="C412" s="40"/>
      <c r="D412" s="40"/>
      <c r="E412" s="40"/>
      <c r="F412" s="40"/>
      <c r="G412" s="40"/>
    </row>
    <row r="413">
      <c r="A413" s="28"/>
      <c r="B413" s="39"/>
      <c r="C413" s="40"/>
      <c r="D413" s="40"/>
      <c r="E413" s="40"/>
      <c r="F413" s="40"/>
      <c r="G413" s="40"/>
    </row>
    <row r="414">
      <c r="A414" s="28"/>
      <c r="B414" s="39"/>
      <c r="C414" s="40"/>
      <c r="D414" s="40"/>
      <c r="E414" s="40"/>
      <c r="F414" s="40"/>
      <c r="G414" s="40"/>
    </row>
    <row r="415">
      <c r="A415" s="28"/>
      <c r="B415" s="39"/>
      <c r="C415" s="40"/>
      <c r="D415" s="40"/>
      <c r="E415" s="40"/>
      <c r="F415" s="40"/>
      <c r="G415" s="40"/>
    </row>
    <row r="416">
      <c r="A416" s="28"/>
      <c r="B416" s="39"/>
      <c r="C416" s="40"/>
      <c r="D416" s="40"/>
      <c r="E416" s="40"/>
      <c r="F416" s="40"/>
      <c r="G416" s="40"/>
    </row>
    <row r="417">
      <c r="A417" s="28"/>
      <c r="B417" s="39"/>
      <c r="C417" s="40"/>
      <c r="D417" s="40"/>
      <c r="E417" s="40"/>
      <c r="F417" s="40"/>
      <c r="G417" s="40"/>
    </row>
    <row r="418">
      <c r="A418" s="28"/>
      <c r="B418" s="39"/>
      <c r="C418" s="40"/>
      <c r="D418" s="40"/>
      <c r="E418" s="40"/>
      <c r="F418" s="40"/>
      <c r="G418" s="40"/>
    </row>
    <row r="419">
      <c r="A419" s="28"/>
      <c r="B419" s="39"/>
      <c r="C419" s="40"/>
      <c r="D419" s="40"/>
      <c r="E419" s="40"/>
      <c r="F419" s="40"/>
      <c r="G419" s="40"/>
    </row>
    <row r="420">
      <c r="A420" s="28"/>
      <c r="B420" s="39"/>
      <c r="C420" s="40"/>
      <c r="D420" s="40"/>
      <c r="E420" s="40"/>
      <c r="F420" s="40"/>
      <c r="G420" s="40"/>
    </row>
    <row r="421">
      <c r="A421" s="28"/>
      <c r="B421" s="39"/>
      <c r="C421" s="40"/>
      <c r="D421" s="40"/>
      <c r="E421" s="40"/>
      <c r="F421" s="40"/>
      <c r="G421" s="40"/>
    </row>
    <row r="422">
      <c r="A422" s="28"/>
      <c r="B422" s="39"/>
      <c r="C422" s="40"/>
      <c r="D422" s="40"/>
      <c r="E422" s="40"/>
      <c r="F422" s="40"/>
      <c r="G422" s="40"/>
    </row>
    <row r="423">
      <c r="A423" s="28"/>
      <c r="B423" s="39"/>
      <c r="C423" s="40"/>
      <c r="D423" s="40"/>
      <c r="E423" s="40"/>
      <c r="F423" s="40"/>
      <c r="G423" s="40"/>
    </row>
    <row r="424">
      <c r="A424" s="28"/>
      <c r="B424" s="39"/>
      <c r="C424" s="40"/>
      <c r="D424" s="40"/>
      <c r="E424" s="40"/>
      <c r="F424" s="40"/>
      <c r="G424" s="40"/>
    </row>
    <row r="425">
      <c r="A425" s="28"/>
      <c r="B425" s="39"/>
      <c r="C425" s="40"/>
      <c r="D425" s="40"/>
      <c r="E425" s="40"/>
      <c r="F425" s="40"/>
      <c r="G425" s="40"/>
    </row>
    <row r="426">
      <c r="A426" s="28"/>
      <c r="B426" s="39"/>
      <c r="C426" s="40"/>
      <c r="D426" s="40"/>
      <c r="E426" s="40"/>
      <c r="F426" s="40"/>
      <c r="G426" s="40"/>
    </row>
    <row r="427">
      <c r="A427" s="28"/>
      <c r="B427" s="39"/>
      <c r="C427" s="40"/>
      <c r="D427" s="40"/>
      <c r="E427" s="40"/>
      <c r="F427" s="40"/>
      <c r="G427" s="40"/>
    </row>
    <row r="428">
      <c r="A428" s="28"/>
      <c r="B428" s="39"/>
      <c r="C428" s="40"/>
      <c r="D428" s="40"/>
      <c r="E428" s="40"/>
      <c r="F428" s="40"/>
      <c r="G428" s="40"/>
    </row>
    <row r="429">
      <c r="A429" s="28"/>
      <c r="B429" s="39"/>
      <c r="C429" s="40"/>
      <c r="D429" s="40"/>
      <c r="E429" s="40"/>
      <c r="F429" s="40"/>
      <c r="G429" s="40"/>
    </row>
    <row r="430">
      <c r="A430" s="28"/>
      <c r="B430" s="39"/>
      <c r="C430" s="40"/>
      <c r="D430" s="40"/>
      <c r="E430" s="40"/>
      <c r="F430" s="40"/>
      <c r="G430" s="40"/>
    </row>
    <row r="431">
      <c r="A431" s="28"/>
      <c r="B431" s="39"/>
      <c r="C431" s="40"/>
      <c r="D431" s="40"/>
      <c r="E431" s="40"/>
      <c r="F431" s="40"/>
      <c r="G431" s="40"/>
    </row>
    <row r="432">
      <c r="A432" s="28"/>
      <c r="B432" s="39"/>
      <c r="C432" s="40"/>
      <c r="D432" s="40"/>
      <c r="E432" s="40"/>
      <c r="F432" s="40"/>
      <c r="G432" s="40"/>
    </row>
    <row r="433">
      <c r="A433" s="28"/>
      <c r="B433" s="39"/>
      <c r="C433" s="40"/>
      <c r="D433" s="40"/>
      <c r="E433" s="40"/>
      <c r="F433" s="40"/>
      <c r="G433" s="40"/>
    </row>
    <row r="434">
      <c r="A434" s="28"/>
      <c r="B434" s="39"/>
      <c r="C434" s="40"/>
      <c r="D434" s="40"/>
      <c r="E434" s="40"/>
      <c r="F434" s="40"/>
      <c r="G434" s="40"/>
    </row>
    <row r="435">
      <c r="A435" s="28"/>
      <c r="B435" s="39"/>
      <c r="C435" s="40"/>
      <c r="D435" s="40"/>
      <c r="E435" s="40"/>
      <c r="F435" s="40"/>
      <c r="G435" s="40"/>
    </row>
    <row r="436">
      <c r="A436" s="28"/>
      <c r="B436" s="39"/>
      <c r="C436" s="40"/>
      <c r="D436" s="40"/>
      <c r="E436" s="40"/>
      <c r="F436" s="40"/>
      <c r="G436" s="40"/>
    </row>
    <row r="437">
      <c r="A437" s="28"/>
      <c r="B437" s="39"/>
      <c r="C437" s="40"/>
      <c r="D437" s="40"/>
      <c r="E437" s="40"/>
      <c r="F437" s="40"/>
      <c r="G437" s="40"/>
    </row>
    <row r="438">
      <c r="A438" s="28"/>
      <c r="B438" s="39"/>
      <c r="C438" s="40"/>
      <c r="D438" s="40"/>
      <c r="E438" s="40"/>
      <c r="F438" s="40"/>
      <c r="G438" s="40"/>
    </row>
    <row r="439">
      <c r="A439" s="28"/>
      <c r="B439" s="39"/>
      <c r="C439" s="40"/>
      <c r="D439" s="40"/>
      <c r="E439" s="40"/>
      <c r="F439" s="40"/>
      <c r="G439" s="40"/>
    </row>
    <row r="440">
      <c r="A440" s="28"/>
      <c r="B440" s="39"/>
      <c r="C440" s="40"/>
      <c r="D440" s="40"/>
      <c r="E440" s="40"/>
      <c r="F440" s="40"/>
      <c r="G440" s="40"/>
    </row>
    <row r="441">
      <c r="A441" s="28"/>
      <c r="B441" s="39"/>
      <c r="C441" s="40"/>
      <c r="D441" s="40"/>
      <c r="E441" s="40"/>
      <c r="F441" s="40"/>
      <c r="G441" s="40"/>
    </row>
    <row r="442">
      <c r="A442" s="28"/>
      <c r="B442" s="39"/>
      <c r="C442" s="40"/>
      <c r="D442" s="40"/>
      <c r="E442" s="40"/>
      <c r="F442" s="40"/>
      <c r="G442" s="40"/>
    </row>
    <row r="443">
      <c r="A443" s="28"/>
      <c r="B443" s="39"/>
      <c r="C443" s="40"/>
      <c r="D443" s="40"/>
      <c r="E443" s="40"/>
      <c r="F443" s="40"/>
      <c r="G443" s="40"/>
    </row>
    <row r="444">
      <c r="A444" s="28"/>
      <c r="B444" s="39"/>
      <c r="C444" s="40"/>
      <c r="D444" s="40"/>
      <c r="E444" s="40"/>
      <c r="F444" s="40"/>
      <c r="G444" s="40"/>
    </row>
    <row r="445">
      <c r="A445" s="28"/>
      <c r="B445" s="39"/>
      <c r="C445" s="40"/>
      <c r="D445" s="40"/>
      <c r="E445" s="40"/>
      <c r="F445" s="40"/>
      <c r="G445" s="40"/>
    </row>
    <row r="446">
      <c r="A446" s="28"/>
      <c r="B446" s="39"/>
      <c r="C446" s="40"/>
      <c r="D446" s="40"/>
      <c r="E446" s="40"/>
      <c r="F446" s="40"/>
      <c r="G446" s="40"/>
    </row>
    <row r="447">
      <c r="A447" s="28"/>
      <c r="B447" s="39"/>
      <c r="C447" s="40"/>
      <c r="D447" s="40"/>
      <c r="E447" s="40"/>
      <c r="F447" s="40"/>
      <c r="G447" s="40"/>
    </row>
    <row r="448">
      <c r="A448" s="28"/>
      <c r="B448" s="39"/>
      <c r="C448" s="40"/>
      <c r="D448" s="40"/>
      <c r="E448" s="40"/>
      <c r="F448" s="40"/>
      <c r="G448" s="40"/>
    </row>
    <row r="449">
      <c r="A449" s="28"/>
      <c r="B449" s="39"/>
      <c r="C449" s="40"/>
      <c r="D449" s="40"/>
      <c r="E449" s="40"/>
      <c r="F449" s="40"/>
      <c r="G449" s="40"/>
    </row>
    <row r="450">
      <c r="A450" s="28"/>
      <c r="B450" s="39"/>
      <c r="C450" s="40"/>
      <c r="D450" s="40"/>
      <c r="E450" s="40"/>
      <c r="F450" s="40"/>
      <c r="G450" s="40"/>
    </row>
    <row r="451">
      <c r="A451" s="28"/>
      <c r="B451" s="39"/>
      <c r="C451" s="40"/>
      <c r="D451" s="40"/>
      <c r="E451" s="40"/>
      <c r="F451" s="40"/>
      <c r="G451" s="40"/>
    </row>
    <row r="452">
      <c r="A452" s="28"/>
      <c r="B452" s="39"/>
      <c r="C452" s="40"/>
      <c r="D452" s="40"/>
      <c r="E452" s="40"/>
      <c r="F452" s="40"/>
      <c r="G452" s="40"/>
    </row>
    <row r="453">
      <c r="A453" s="28"/>
      <c r="B453" s="39"/>
      <c r="C453" s="40"/>
      <c r="D453" s="40"/>
      <c r="E453" s="40"/>
      <c r="F453" s="40"/>
      <c r="G453" s="40"/>
    </row>
    <row r="454">
      <c r="A454" s="28"/>
      <c r="B454" s="39"/>
      <c r="C454" s="40"/>
      <c r="D454" s="40"/>
      <c r="E454" s="40"/>
      <c r="F454" s="40"/>
      <c r="G454" s="40"/>
    </row>
    <row r="455">
      <c r="A455" s="28"/>
      <c r="B455" s="39"/>
      <c r="C455" s="40"/>
      <c r="D455" s="40"/>
      <c r="E455" s="40"/>
      <c r="F455" s="40"/>
      <c r="G455" s="40"/>
    </row>
    <row r="456">
      <c r="A456" s="28"/>
      <c r="B456" s="39"/>
      <c r="C456" s="40"/>
      <c r="D456" s="40"/>
      <c r="E456" s="40"/>
      <c r="F456" s="40"/>
      <c r="G456" s="40"/>
    </row>
    <row r="457">
      <c r="A457" s="28"/>
      <c r="B457" s="39"/>
      <c r="C457" s="40"/>
      <c r="D457" s="40"/>
      <c r="E457" s="40"/>
      <c r="F457" s="40"/>
      <c r="G457" s="40"/>
    </row>
    <row r="458">
      <c r="A458" s="28"/>
      <c r="B458" s="39"/>
      <c r="C458" s="40"/>
      <c r="D458" s="40"/>
      <c r="E458" s="40"/>
      <c r="F458" s="40"/>
      <c r="G458" s="40"/>
    </row>
    <row r="459">
      <c r="A459" s="28"/>
      <c r="B459" s="39"/>
      <c r="C459" s="40"/>
      <c r="D459" s="40"/>
      <c r="E459" s="40"/>
      <c r="F459" s="40"/>
      <c r="G459" s="40"/>
    </row>
    <row r="460">
      <c r="A460" s="28"/>
      <c r="B460" s="39"/>
      <c r="C460" s="40"/>
      <c r="D460" s="40"/>
      <c r="E460" s="40"/>
      <c r="F460" s="40"/>
      <c r="G460" s="40"/>
    </row>
    <row r="461">
      <c r="A461" s="28"/>
      <c r="B461" s="39"/>
      <c r="C461" s="40"/>
      <c r="D461" s="40"/>
      <c r="E461" s="40"/>
      <c r="F461" s="40"/>
      <c r="G461" s="40"/>
    </row>
    <row r="462">
      <c r="A462" s="28"/>
      <c r="B462" s="39"/>
      <c r="C462" s="40"/>
      <c r="D462" s="40"/>
      <c r="E462" s="40"/>
      <c r="F462" s="40"/>
      <c r="G462" s="40"/>
    </row>
    <row r="463">
      <c r="A463" s="28"/>
      <c r="B463" s="39"/>
      <c r="C463" s="40"/>
      <c r="D463" s="40"/>
      <c r="E463" s="40"/>
      <c r="F463" s="40"/>
      <c r="G463" s="40"/>
    </row>
    <row r="464">
      <c r="A464" s="28"/>
      <c r="B464" s="39"/>
      <c r="C464" s="40"/>
      <c r="D464" s="40"/>
      <c r="E464" s="40"/>
      <c r="F464" s="40"/>
      <c r="G464" s="40"/>
    </row>
    <row r="465">
      <c r="A465" s="28"/>
      <c r="B465" s="39"/>
      <c r="C465" s="40"/>
      <c r="D465" s="40"/>
      <c r="E465" s="40"/>
      <c r="F465" s="40"/>
      <c r="G465" s="40"/>
    </row>
    <row r="466">
      <c r="A466" s="28"/>
      <c r="B466" s="39"/>
      <c r="C466" s="40"/>
      <c r="D466" s="40"/>
      <c r="E466" s="40"/>
      <c r="F466" s="40"/>
      <c r="G466" s="40"/>
    </row>
    <row r="467">
      <c r="A467" s="28"/>
      <c r="B467" s="39"/>
      <c r="C467" s="40"/>
      <c r="D467" s="40"/>
      <c r="E467" s="40"/>
      <c r="F467" s="40"/>
      <c r="G467" s="40"/>
    </row>
    <row r="468">
      <c r="A468" s="28"/>
      <c r="B468" s="39"/>
      <c r="C468" s="40"/>
      <c r="D468" s="40"/>
      <c r="E468" s="40"/>
      <c r="F468" s="40"/>
      <c r="G468" s="40"/>
    </row>
    <row r="469">
      <c r="A469" s="28"/>
      <c r="B469" s="39"/>
      <c r="C469" s="40"/>
      <c r="D469" s="40"/>
      <c r="E469" s="40"/>
      <c r="F469" s="40"/>
      <c r="G469" s="40"/>
    </row>
    <row r="470">
      <c r="A470" s="28"/>
      <c r="B470" s="39"/>
      <c r="C470" s="40"/>
      <c r="D470" s="40"/>
      <c r="E470" s="40"/>
      <c r="F470" s="40"/>
      <c r="G470" s="40"/>
    </row>
    <row r="471">
      <c r="A471" s="28"/>
      <c r="B471" s="39"/>
      <c r="C471" s="40"/>
      <c r="D471" s="40"/>
      <c r="E471" s="40"/>
      <c r="F471" s="40"/>
      <c r="G471" s="40"/>
    </row>
    <row r="472">
      <c r="A472" s="28"/>
      <c r="B472" s="39"/>
      <c r="C472" s="40"/>
      <c r="D472" s="40"/>
      <c r="E472" s="40"/>
      <c r="F472" s="40"/>
      <c r="G472" s="40"/>
    </row>
    <row r="473">
      <c r="A473" s="28"/>
      <c r="B473" s="39"/>
      <c r="C473" s="40"/>
      <c r="D473" s="40"/>
      <c r="E473" s="40"/>
      <c r="F473" s="40"/>
      <c r="G473" s="40"/>
    </row>
    <row r="474">
      <c r="A474" s="28"/>
      <c r="B474" s="39"/>
      <c r="C474" s="40"/>
      <c r="D474" s="40"/>
      <c r="E474" s="40"/>
      <c r="F474" s="40"/>
      <c r="G474" s="40"/>
    </row>
    <row r="475">
      <c r="A475" s="28"/>
      <c r="B475" s="39"/>
      <c r="C475" s="40"/>
      <c r="D475" s="40"/>
      <c r="E475" s="40"/>
      <c r="F475" s="40"/>
      <c r="G475" s="40"/>
    </row>
    <row r="476">
      <c r="A476" s="28"/>
      <c r="B476" s="39"/>
      <c r="C476" s="40"/>
      <c r="D476" s="40"/>
      <c r="E476" s="40"/>
      <c r="F476" s="40"/>
      <c r="G476" s="40"/>
    </row>
    <row r="477">
      <c r="A477" s="28"/>
      <c r="B477" s="39"/>
      <c r="C477" s="40"/>
      <c r="D477" s="40"/>
      <c r="E477" s="40"/>
      <c r="F477" s="40"/>
      <c r="G477" s="40"/>
    </row>
    <row r="478">
      <c r="A478" s="28"/>
      <c r="B478" s="39"/>
      <c r="C478" s="40"/>
      <c r="D478" s="40"/>
      <c r="E478" s="40"/>
      <c r="F478" s="40"/>
      <c r="G478" s="40"/>
    </row>
    <row r="479">
      <c r="A479" s="28"/>
      <c r="B479" s="39"/>
      <c r="C479" s="40"/>
      <c r="D479" s="40"/>
      <c r="E479" s="40"/>
      <c r="F479" s="40"/>
      <c r="G479" s="40"/>
    </row>
    <row r="480">
      <c r="A480" s="28"/>
      <c r="B480" s="39"/>
      <c r="C480" s="40"/>
      <c r="D480" s="40"/>
      <c r="E480" s="40"/>
      <c r="F480" s="40"/>
      <c r="G480" s="40"/>
    </row>
    <row r="481">
      <c r="A481" s="28"/>
      <c r="B481" s="39"/>
      <c r="C481" s="40"/>
      <c r="D481" s="40"/>
      <c r="E481" s="40"/>
      <c r="F481" s="40"/>
      <c r="G481" s="40"/>
    </row>
    <row r="482">
      <c r="A482" s="28"/>
      <c r="B482" s="39"/>
      <c r="C482" s="40"/>
      <c r="D482" s="40"/>
      <c r="E482" s="40"/>
      <c r="F482" s="40"/>
      <c r="G482" s="40"/>
    </row>
    <row r="483">
      <c r="A483" s="28"/>
      <c r="B483" s="39"/>
      <c r="C483" s="40"/>
      <c r="D483" s="40"/>
      <c r="E483" s="40"/>
      <c r="F483" s="40"/>
      <c r="G483" s="40"/>
    </row>
    <row r="484">
      <c r="A484" s="28"/>
      <c r="B484" s="39"/>
      <c r="C484" s="40"/>
      <c r="D484" s="40"/>
      <c r="E484" s="40"/>
      <c r="F484" s="40"/>
      <c r="G484" s="40"/>
    </row>
    <row r="485">
      <c r="A485" s="28"/>
      <c r="B485" s="39"/>
      <c r="C485" s="40"/>
      <c r="D485" s="40"/>
      <c r="E485" s="40"/>
      <c r="F485" s="40"/>
      <c r="G485" s="40"/>
    </row>
    <row r="486">
      <c r="A486" s="28"/>
      <c r="B486" s="39"/>
      <c r="C486" s="40"/>
      <c r="D486" s="40"/>
      <c r="E486" s="40"/>
      <c r="F486" s="40"/>
      <c r="G486" s="40"/>
    </row>
    <row r="487">
      <c r="A487" s="28"/>
      <c r="B487" s="39"/>
      <c r="C487" s="40"/>
      <c r="D487" s="40"/>
      <c r="E487" s="40"/>
      <c r="F487" s="40"/>
      <c r="G487" s="40"/>
    </row>
    <row r="488">
      <c r="A488" s="28"/>
      <c r="B488" s="39"/>
      <c r="C488" s="40"/>
      <c r="D488" s="40"/>
      <c r="E488" s="40"/>
      <c r="F488" s="40"/>
      <c r="G488" s="40"/>
    </row>
    <row r="489">
      <c r="A489" s="28"/>
      <c r="B489" s="39"/>
      <c r="C489" s="40"/>
      <c r="D489" s="40"/>
      <c r="E489" s="40"/>
      <c r="F489" s="40"/>
      <c r="G489" s="40"/>
    </row>
    <row r="490">
      <c r="A490" s="28"/>
      <c r="B490" s="39"/>
      <c r="C490" s="40"/>
      <c r="D490" s="40"/>
      <c r="E490" s="40"/>
      <c r="F490" s="40"/>
      <c r="G490" s="40"/>
    </row>
    <row r="491">
      <c r="A491" s="28"/>
      <c r="B491" s="39"/>
      <c r="C491" s="40"/>
      <c r="D491" s="40"/>
      <c r="E491" s="40"/>
      <c r="F491" s="40"/>
      <c r="G491" s="40"/>
    </row>
    <row r="492">
      <c r="A492" s="28"/>
      <c r="B492" s="39"/>
      <c r="C492" s="40"/>
      <c r="D492" s="40"/>
      <c r="E492" s="40"/>
      <c r="F492" s="40"/>
      <c r="G492" s="40"/>
    </row>
    <row r="493">
      <c r="A493" s="28"/>
      <c r="B493" s="39"/>
      <c r="C493" s="40"/>
      <c r="D493" s="40"/>
      <c r="E493" s="40"/>
      <c r="F493" s="40"/>
      <c r="G493" s="40"/>
    </row>
    <row r="494">
      <c r="A494" s="28"/>
      <c r="B494" s="39"/>
      <c r="C494" s="40"/>
      <c r="D494" s="40"/>
      <c r="E494" s="40"/>
      <c r="F494" s="40"/>
      <c r="G494" s="40"/>
    </row>
    <row r="495">
      <c r="A495" s="28"/>
      <c r="B495" s="39"/>
      <c r="C495" s="40"/>
      <c r="D495" s="40"/>
      <c r="E495" s="40"/>
      <c r="F495" s="40"/>
      <c r="G495" s="40"/>
    </row>
    <row r="496">
      <c r="A496" s="28"/>
      <c r="B496" s="39"/>
      <c r="C496" s="40"/>
      <c r="D496" s="40"/>
      <c r="E496" s="40"/>
      <c r="F496" s="40"/>
      <c r="G496" s="40"/>
    </row>
    <row r="497">
      <c r="A497" s="28"/>
      <c r="B497" s="39"/>
      <c r="C497" s="40"/>
      <c r="D497" s="40"/>
      <c r="E497" s="40"/>
      <c r="F497" s="40"/>
      <c r="G497" s="40"/>
    </row>
    <row r="498">
      <c r="A498" s="28"/>
      <c r="B498" s="39"/>
      <c r="C498" s="40"/>
      <c r="D498" s="40"/>
      <c r="E498" s="40"/>
      <c r="F498" s="40"/>
      <c r="G498" s="40"/>
    </row>
    <row r="499">
      <c r="A499" s="28"/>
      <c r="B499" s="39"/>
      <c r="C499" s="40"/>
      <c r="D499" s="40"/>
      <c r="E499" s="40"/>
      <c r="F499" s="40"/>
      <c r="G499" s="40"/>
    </row>
    <row r="500">
      <c r="A500" s="28"/>
      <c r="B500" s="39"/>
      <c r="C500" s="40"/>
      <c r="D500" s="40"/>
      <c r="E500" s="40"/>
      <c r="F500" s="40"/>
      <c r="G500" s="40"/>
    </row>
    <row r="501">
      <c r="A501" s="28"/>
      <c r="B501" s="39"/>
      <c r="C501" s="40"/>
      <c r="D501" s="40"/>
      <c r="E501" s="40"/>
      <c r="F501" s="40"/>
      <c r="G501" s="40"/>
    </row>
    <row r="502">
      <c r="A502" s="28"/>
      <c r="B502" s="39"/>
      <c r="C502" s="40"/>
      <c r="D502" s="40"/>
      <c r="E502" s="40"/>
      <c r="F502" s="40"/>
      <c r="G502" s="40"/>
    </row>
    <row r="503">
      <c r="A503" s="28"/>
      <c r="B503" s="39"/>
      <c r="C503" s="40"/>
      <c r="D503" s="40"/>
      <c r="E503" s="40"/>
      <c r="F503" s="40"/>
      <c r="G503" s="40"/>
    </row>
    <row r="504">
      <c r="A504" s="28"/>
      <c r="B504" s="39"/>
      <c r="C504" s="40"/>
      <c r="D504" s="40"/>
      <c r="E504" s="40"/>
      <c r="F504" s="40"/>
      <c r="G504" s="40"/>
    </row>
    <row r="505">
      <c r="A505" s="28"/>
      <c r="B505" s="39"/>
      <c r="C505" s="40"/>
      <c r="D505" s="40"/>
      <c r="E505" s="40"/>
      <c r="F505" s="40"/>
      <c r="G505" s="40"/>
    </row>
    <row r="506">
      <c r="A506" s="28"/>
      <c r="B506" s="39"/>
      <c r="C506" s="40"/>
      <c r="D506" s="40"/>
      <c r="E506" s="40"/>
      <c r="F506" s="40"/>
      <c r="G506" s="40"/>
    </row>
    <row r="507">
      <c r="A507" s="28"/>
      <c r="B507" s="39"/>
      <c r="C507" s="40"/>
      <c r="D507" s="40"/>
      <c r="E507" s="40"/>
      <c r="F507" s="40"/>
      <c r="G507" s="40"/>
    </row>
    <row r="508">
      <c r="A508" s="28"/>
      <c r="B508" s="39"/>
      <c r="C508" s="40"/>
      <c r="D508" s="40"/>
      <c r="E508" s="40"/>
      <c r="F508" s="40"/>
      <c r="G508" s="40"/>
    </row>
    <row r="509">
      <c r="A509" s="28"/>
      <c r="B509" s="39"/>
      <c r="C509" s="40"/>
      <c r="D509" s="40"/>
      <c r="E509" s="40"/>
      <c r="F509" s="40"/>
      <c r="G509" s="40"/>
    </row>
    <row r="510">
      <c r="A510" s="28"/>
      <c r="B510" s="39"/>
      <c r="C510" s="40"/>
      <c r="D510" s="40"/>
      <c r="E510" s="40"/>
      <c r="F510" s="40"/>
      <c r="G510" s="40"/>
    </row>
    <row r="511">
      <c r="A511" s="28"/>
      <c r="B511" s="39"/>
      <c r="C511" s="40"/>
      <c r="D511" s="40"/>
      <c r="E511" s="40"/>
      <c r="F511" s="40"/>
      <c r="G511" s="40"/>
    </row>
    <row r="512">
      <c r="A512" s="28"/>
      <c r="B512" s="39"/>
      <c r="C512" s="40"/>
      <c r="D512" s="40"/>
      <c r="E512" s="40"/>
      <c r="F512" s="40"/>
      <c r="G512" s="40"/>
    </row>
    <row r="513">
      <c r="A513" s="28"/>
      <c r="B513" s="39"/>
      <c r="C513" s="40"/>
      <c r="D513" s="40"/>
      <c r="E513" s="40"/>
      <c r="F513" s="40"/>
      <c r="G513" s="40"/>
    </row>
    <row r="514">
      <c r="A514" s="28"/>
      <c r="B514" s="39"/>
      <c r="C514" s="40"/>
      <c r="D514" s="40"/>
      <c r="E514" s="40"/>
      <c r="F514" s="40"/>
      <c r="G514" s="40"/>
    </row>
    <row r="515">
      <c r="A515" s="28"/>
      <c r="B515" s="39"/>
      <c r="C515" s="40"/>
      <c r="D515" s="40"/>
      <c r="E515" s="40"/>
      <c r="F515" s="40"/>
      <c r="G515" s="40"/>
    </row>
    <row r="516">
      <c r="A516" s="28"/>
      <c r="B516" s="39"/>
      <c r="C516" s="40"/>
      <c r="D516" s="40"/>
      <c r="E516" s="40"/>
      <c r="F516" s="40"/>
      <c r="G516" s="40"/>
    </row>
    <row r="517">
      <c r="A517" s="28"/>
      <c r="B517" s="39"/>
      <c r="C517" s="40"/>
      <c r="D517" s="40"/>
      <c r="E517" s="40"/>
      <c r="F517" s="40"/>
      <c r="G517" s="40"/>
    </row>
    <row r="518">
      <c r="A518" s="28"/>
      <c r="B518" s="39"/>
      <c r="C518" s="40"/>
      <c r="D518" s="40"/>
      <c r="E518" s="40"/>
      <c r="F518" s="40"/>
      <c r="G518" s="40"/>
    </row>
    <row r="519">
      <c r="A519" s="28"/>
      <c r="B519" s="39"/>
      <c r="C519" s="40"/>
      <c r="D519" s="40"/>
      <c r="E519" s="40"/>
      <c r="F519" s="40"/>
      <c r="G519" s="40"/>
    </row>
    <row r="520">
      <c r="A520" s="28"/>
      <c r="B520" s="39"/>
      <c r="C520" s="40"/>
      <c r="D520" s="40"/>
      <c r="E520" s="40"/>
      <c r="F520" s="40"/>
      <c r="G520" s="40"/>
    </row>
    <row r="521">
      <c r="A521" s="28"/>
      <c r="B521" s="39"/>
      <c r="C521" s="40"/>
      <c r="D521" s="40"/>
      <c r="E521" s="40"/>
      <c r="F521" s="40"/>
      <c r="G521" s="40"/>
    </row>
    <row r="522">
      <c r="A522" s="28"/>
      <c r="B522" s="39"/>
      <c r="C522" s="40"/>
      <c r="D522" s="40"/>
      <c r="E522" s="40"/>
      <c r="F522" s="40"/>
      <c r="G522" s="40"/>
    </row>
    <row r="523">
      <c r="A523" s="28"/>
      <c r="B523" s="39"/>
      <c r="C523" s="40"/>
      <c r="D523" s="40"/>
      <c r="E523" s="40"/>
      <c r="F523" s="40"/>
      <c r="G523" s="40"/>
    </row>
    <row r="524">
      <c r="A524" s="28"/>
      <c r="B524" s="39"/>
      <c r="C524" s="40"/>
      <c r="D524" s="40"/>
      <c r="E524" s="40"/>
      <c r="F524" s="40"/>
      <c r="G524" s="40"/>
    </row>
    <row r="525">
      <c r="A525" s="28"/>
      <c r="B525" s="39"/>
      <c r="C525" s="40"/>
      <c r="D525" s="40"/>
      <c r="E525" s="40"/>
      <c r="F525" s="40"/>
      <c r="G525" s="40"/>
    </row>
    <row r="526">
      <c r="A526" s="28"/>
      <c r="B526" s="39"/>
      <c r="C526" s="40"/>
      <c r="D526" s="40"/>
      <c r="E526" s="40"/>
      <c r="F526" s="40"/>
      <c r="G526" s="40"/>
    </row>
    <row r="527">
      <c r="A527" s="28"/>
      <c r="B527" s="39"/>
      <c r="C527" s="40"/>
      <c r="D527" s="40"/>
      <c r="E527" s="40"/>
      <c r="F527" s="40"/>
      <c r="G527" s="40"/>
    </row>
    <row r="528">
      <c r="A528" s="28"/>
      <c r="B528" s="39"/>
      <c r="C528" s="40"/>
      <c r="D528" s="40"/>
      <c r="E528" s="40"/>
      <c r="F528" s="40"/>
      <c r="G528" s="40"/>
    </row>
    <row r="529">
      <c r="A529" s="28"/>
      <c r="B529" s="39"/>
      <c r="C529" s="40"/>
      <c r="D529" s="40"/>
      <c r="E529" s="40"/>
      <c r="F529" s="40"/>
      <c r="G529" s="40"/>
    </row>
    <row r="530">
      <c r="A530" s="28"/>
      <c r="B530" s="39"/>
      <c r="C530" s="40"/>
      <c r="D530" s="40"/>
      <c r="E530" s="40"/>
      <c r="F530" s="40"/>
      <c r="G530" s="40"/>
    </row>
    <row r="531">
      <c r="A531" s="28"/>
      <c r="B531" s="39"/>
      <c r="C531" s="40"/>
      <c r="D531" s="40"/>
      <c r="E531" s="40"/>
      <c r="F531" s="40"/>
      <c r="G531" s="40"/>
    </row>
    <row r="532">
      <c r="A532" s="28"/>
      <c r="B532" s="39"/>
      <c r="C532" s="40"/>
      <c r="D532" s="40"/>
      <c r="E532" s="40"/>
      <c r="F532" s="40"/>
      <c r="G532" s="40"/>
    </row>
    <row r="533">
      <c r="A533" s="28"/>
      <c r="B533" s="39"/>
      <c r="C533" s="40"/>
      <c r="D533" s="40"/>
      <c r="E533" s="40"/>
      <c r="F533" s="40"/>
      <c r="G533" s="40"/>
    </row>
    <row r="534">
      <c r="A534" s="28"/>
      <c r="B534" s="39"/>
      <c r="C534" s="40"/>
      <c r="D534" s="40"/>
      <c r="E534" s="40"/>
      <c r="F534" s="40"/>
      <c r="G534" s="40"/>
    </row>
    <row r="535">
      <c r="A535" s="28"/>
      <c r="B535" s="39"/>
      <c r="C535" s="40"/>
      <c r="D535" s="40"/>
      <c r="E535" s="40"/>
      <c r="F535" s="40"/>
      <c r="G535" s="40"/>
    </row>
    <row r="536">
      <c r="A536" s="28"/>
      <c r="B536" s="39"/>
      <c r="C536" s="40"/>
      <c r="D536" s="40"/>
      <c r="E536" s="40"/>
      <c r="F536" s="40"/>
      <c r="G536" s="40"/>
    </row>
    <row r="537">
      <c r="A537" s="28"/>
      <c r="B537" s="39"/>
      <c r="C537" s="40"/>
      <c r="D537" s="40"/>
      <c r="E537" s="40"/>
      <c r="F537" s="40"/>
      <c r="G537" s="40"/>
    </row>
    <row r="538">
      <c r="A538" s="28"/>
      <c r="B538" s="39"/>
      <c r="C538" s="40"/>
      <c r="D538" s="40"/>
      <c r="E538" s="40"/>
      <c r="F538" s="40"/>
      <c r="G538" s="40"/>
    </row>
    <row r="539">
      <c r="A539" s="28"/>
      <c r="B539" s="39"/>
      <c r="C539" s="40"/>
      <c r="D539" s="40"/>
      <c r="E539" s="40"/>
      <c r="F539" s="40"/>
      <c r="G539" s="40"/>
    </row>
    <row r="540">
      <c r="A540" s="28"/>
      <c r="B540" s="39"/>
      <c r="C540" s="40"/>
      <c r="D540" s="40"/>
      <c r="E540" s="40"/>
      <c r="F540" s="40"/>
      <c r="G540" s="40"/>
    </row>
    <row r="541">
      <c r="A541" s="28"/>
      <c r="B541" s="39"/>
      <c r="C541" s="40"/>
      <c r="D541" s="40"/>
      <c r="E541" s="40"/>
      <c r="F541" s="40"/>
      <c r="G541" s="40"/>
    </row>
    <row r="542">
      <c r="A542" s="28"/>
      <c r="B542" s="39"/>
      <c r="C542" s="40"/>
      <c r="D542" s="40"/>
      <c r="E542" s="40"/>
      <c r="F542" s="40"/>
      <c r="G542" s="40"/>
    </row>
    <row r="543">
      <c r="A543" s="28"/>
      <c r="B543" s="39"/>
      <c r="C543" s="40"/>
      <c r="D543" s="40"/>
      <c r="E543" s="40"/>
      <c r="F543" s="40"/>
      <c r="G543" s="40"/>
    </row>
    <row r="544">
      <c r="A544" s="28"/>
      <c r="B544" s="39"/>
      <c r="C544" s="40"/>
      <c r="D544" s="40"/>
      <c r="E544" s="40"/>
      <c r="F544" s="40"/>
      <c r="G544" s="40"/>
    </row>
    <row r="545">
      <c r="A545" s="28"/>
      <c r="B545" s="39"/>
      <c r="C545" s="40"/>
      <c r="D545" s="40"/>
      <c r="E545" s="40"/>
      <c r="F545" s="40"/>
      <c r="G545" s="40"/>
    </row>
    <row r="546">
      <c r="A546" s="28"/>
      <c r="B546" s="39"/>
      <c r="C546" s="40"/>
      <c r="D546" s="40"/>
      <c r="E546" s="40"/>
      <c r="F546" s="40"/>
      <c r="G546" s="40"/>
    </row>
    <row r="547">
      <c r="A547" s="28"/>
      <c r="B547" s="39"/>
      <c r="C547" s="40"/>
      <c r="D547" s="40"/>
      <c r="E547" s="40"/>
      <c r="F547" s="40"/>
      <c r="G547" s="40"/>
    </row>
    <row r="548">
      <c r="A548" s="28"/>
      <c r="B548" s="39"/>
      <c r="C548" s="40"/>
      <c r="D548" s="40"/>
      <c r="E548" s="40"/>
      <c r="F548" s="40"/>
      <c r="G548" s="40"/>
    </row>
    <row r="549">
      <c r="A549" s="28"/>
      <c r="B549" s="39"/>
      <c r="C549" s="40"/>
      <c r="D549" s="40"/>
      <c r="E549" s="40"/>
      <c r="F549" s="40"/>
      <c r="G549" s="40"/>
    </row>
    <row r="550">
      <c r="A550" s="28"/>
      <c r="B550" s="39"/>
      <c r="C550" s="40"/>
      <c r="D550" s="40"/>
      <c r="E550" s="40"/>
      <c r="F550" s="40"/>
      <c r="G550" s="40"/>
    </row>
    <row r="551">
      <c r="A551" s="28"/>
      <c r="B551" s="39"/>
      <c r="C551" s="40"/>
      <c r="D551" s="40"/>
      <c r="E551" s="40"/>
      <c r="F551" s="40"/>
      <c r="G551" s="40"/>
    </row>
    <row r="552">
      <c r="A552" s="28"/>
      <c r="B552" s="39"/>
      <c r="C552" s="40"/>
      <c r="D552" s="40"/>
      <c r="E552" s="40"/>
      <c r="F552" s="40"/>
      <c r="G552" s="40"/>
    </row>
    <row r="553">
      <c r="A553" s="28"/>
      <c r="B553" s="39"/>
      <c r="C553" s="40"/>
      <c r="D553" s="40"/>
      <c r="E553" s="40"/>
      <c r="F553" s="40"/>
      <c r="G553" s="40"/>
    </row>
    <row r="554">
      <c r="A554" s="28"/>
      <c r="B554" s="39"/>
      <c r="C554" s="40"/>
      <c r="D554" s="40"/>
      <c r="E554" s="40"/>
      <c r="F554" s="40"/>
      <c r="G554" s="40"/>
    </row>
    <row r="555">
      <c r="A555" s="28"/>
      <c r="B555" s="39"/>
      <c r="C555" s="40"/>
      <c r="D555" s="40"/>
      <c r="E555" s="40"/>
      <c r="F555" s="40"/>
      <c r="G555" s="40"/>
    </row>
    <row r="556">
      <c r="A556" s="28"/>
      <c r="B556" s="39"/>
      <c r="C556" s="40"/>
      <c r="D556" s="40"/>
      <c r="E556" s="40"/>
      <c r="F556" s="40"/>
      <c r="G556" s="40"/>
    </row>
    <row r="557">
      <c r="A557" s="28"/>
      <c r="B557" s="39"/>
      <c r="C557" s="40"/>
      <c r="D557" s="40"/>
      <c r="E557" s="40"/>
      <c r="F557" s="40"/>
      <c r="G557" s="40"/>
    </row>
    <row r="558">
      <c r="A558" s="28"/>
      <c r="B558" s="39"/>
      <c r="C558" s="40"/>
      <c r="D558" s="40"/>
      <c r="E558" s="40"/>
      <c r="F558" s="40"/>
      <c r="G558" s="40"/>
    </row>
    <row r="559">
      <c r="A559" s="28"/>
      <c r="B559" s="39"/>
      <c r="C559" s="40"/>
      <c r="D559" s="40"/>
      <c r="E559" s="40"/>
      <c r="F559" s="40"/>
      <c r="G559" s="40"/>
    </row>
    <row r="560">
      <c r="A560" s="28"/>
      <c r="B560" s="39"/>
      <c r="C560" s="40"/>
      <c r="D560" s="40"/>
      <c r="E560" s="40"/>
      <c r="F560" s="40"/>
      <c r="G560" s="40"/>
    </row>
    <row r="561">
      <c r="A561" s="28"/>
      <c r="B561" s="39"/>
      <c r="C561" s="40"/>
      <c r="D561" s="40"/>
      <c r="E561" s="40"/>
      <c r="F561" s="40"/>
      <c r="G561" s="40"/>
    </row>
    <row r="562">
      <c r="A562" s="28"/>
      <c r="B562" s="39"/>
      <c r="C562" s="40"/>
      <c r="D562" s="40"/>
      <c r="E562" s="40"/>
      <c r="F562" s="40"/>
      <c r="G562" s="40"/>
    </row>
    <row r="563">
      <c r="A563" s="28"/>
      <c r="B563" s="39"/>
      <c r="C563" s="40"/>
      <c r="D563" s="40"/>
      <c r="E563" s="40"/>
      <c r="F563" s="40"/>
      <c r="G563" s="40"/>
    </row>
    <row r="564">
      <c r="A564" s="28"/>
      <c r="B564" s="39"/>
      <c r="C564" s="40"/>
      <c r="D564" s="40"/>
      <c r="E564" s="40"/>
      <c r="F564" s="40"/>
      <c r="G564" s="40"/>
    </row>
    <row r="565">
      <c r="A565" s="28"/>
      <c r="B565" s="39"/>
      <c r="C565" s="40"/>
      <c r="D565" s="40"/>
      <c r="E565" s="40"/>
      <c r="F565" s="40"/>
      <c r="G565" s="40"/>
    </row>
    <row r="566">
      <c r="A566" s="28"/>
      <c r="B566" s="39"/>
      <c r="C566" s="40"/>
      <c r="D566" s="40"/>
      <c r="E566" s="40"/>
      <c r="F566" s="40"/>
      <c r="G566" s="40"/>
    </row>
    <row r="567">
      <c r="A567" s="28"/>
      <c r="B567" s="39"/>
      <c r="C567" s="40"/>
      <c r="D567" s="40"/>
      <c r="E567" s="40"/>
      <c r="F567" s="40"/>
      <c r="G567" s="40"/>
    </row>
    <row r="568">
      <c r="A568" s="28"/>
      <c r="B568" s="39"/>
      <c r="C568" s="40"/>
      <c r="D568" s="40"/>
      <c r="E568" s="40"/>
      <c r="F568" s="40"/>
      <c r="G568" s="40"/>
    </row>
    <row r="569">
      <c r="A569" s="28"/>
      <c r="B569" s="39"/>
      <c r="C569" s="40"/>
      <c r="D569" s="40"/>
      <c r="E569" s="40"/>
      <c r="F569" s="40"/>
      <c r="G569" s="40"/>
    </row>
    <row r="570">
      <c r="A570" s="28"/>
      <c r="B570" s="39"/>
      <c r="C570" s="40"/>
      <c r="D570" s="40"/>
      <c r="E570" s="40"/>
      <c r="F570" s="40"/>
      <c r="G570" s="40"/>
    </row>
    <row r="571">
      <c r="A571" s="28"/>
      <c r="B571" s="39"/>
      <c r="C571" s="40"/>
      <c r="D571" s="40"/>
      <c r="E571" s="40"/>
      <c r="F571" s="40"/>
      <c r="G571" s="40"/>
    </row>
    <row r="572">
      <c r="A572" s="28"/>
      <c r="B572" s="39"/>
      <c r="C572" s="40"/>
      <c r="D572" s="40"/>
      <c r="E572" s="40"/>
      <c r="F572" s="40"/>
      <c r="G572" s="40"/>
    </row>
    <row r="573">
      <c r="A573" s="28"/>
      <c r="B573" s="39"/>
      <c r="C573" s="40"/>
      <c r="D573" s="40"/>
      <c r="E573" s="40"/>
      <c r="F573" s="40"/>
      <c r="G573" s="40"/>
    </row>
    <row r="574">
      <c r="A574" s="28"/>
      <c r="B574" s="39"/>
      <c r="C574" s="40"/>
      <c r="D574" s="40"/>
      <c r="E574" s="40"/>
      <c r="F574" s="40"/>
      <c r="G574" s="40"/>
    </row>
    <row r="575">
      <c r="A575" s="28"/>
      <c r="B575" s="39"/>
      <c r="C575" s="40"/>
      <c r="D575" s="40"/>
      <c r="E575" s="40"/>
      <c r="F575" s="40"/>
      <c r="G575" s="40"/>
    </row>
    <row r="576">
      <c r="A576" s="28"/>
      <c r="B576" s="39"/>
      <c r="C576" s="40"/>
      <c r="D576" s="40"/>
      <c r="E576" s="40"/>
      <c r="F576" s="40"/>
      <c r="G576" s="40"/>
    </row>
    <row r="577">
      <c r="A577" s="28"/>
      <c r="B577" s="39"/>
      <c r="C577" s="40"/>
      <c r="D577" s="40"/>
      <c r="E577" s="40"/>
      <c r="F577" s="40"/>
      <c r="G577" s="40"/>
    </row>
    <row r="578">
      <c r="A578" s="28"/>
      <c r="B578" s="39"/>
      <c r="C578" s="40"/>
      <c r="D578" s="40"/>
      <c r="E578" s="40"/>
      <c r="F578" s="40"/>
      <c r="G578" s="40"/>
    </row>
    <row r="579">
      <c r="A579" s="28"/>
      <c r="B579" s="39"/>
      <c r="C579" s="40"/>
      <c r="D579" s="40"/>
      <c r="E579" s="40"/>
      <c r="F579" s="40"/>
      <c r="G579" s="40"/>
    </row>
    <row r="580">
      <c r="A580" s="28"/>
      <c r="B580" s="39"/>
      <c r="C580" s="40"/>
      <c r="D580" s="40"/>
      <c r="E580" s="40"/>
      <c r="F580" s="40"/>
      <c r="G580" s="40"/>
    </row>
    <row r="581">
      <c r="A581" s="28"/>
      <c r="B581" s="39"/>
      <c r="C581" s="40"/>
      <c r="D581" s="40"/>
      <c r="E581" s="40"/>
      <c r="F581" s="40"/>
      <c r="G581" s="40"/>
    </row>
    <row r="582">
      <c r="A582" s="28"/>
      <c r="B582" s="39"/>
      <c r="C582" s="40"/>
      <c r="D582" s="40"/>
      <c r="E582" s="40"/>
      <c r="F582" s="40"/>
      <c r="G582" s="40"/>
    </row>
    <row r="583">
      <c r="A583" s="28"/>
      <c r="B583" s="39"/>
      <c r="C583" s="40"/>
      <c r="D583" s="40"/>
      <c r="E583" s="40"/>
      <c r="F583" s="40"/>
      <c r="G583" s="40"/>
    </row>
    <row r="584">
      <c r="A584" s="28"/>
      <c r="B584" s="39"/>
      <c r="C584" s="40"/>
      <c r="D584" s="40"/>
      <c r="E584" s="40"/>
      <c r="F584" s="40"/>
      <c r="G584" s="40"/>
    </row>
    <row r="585">
      <c r="A585" s="28"/>
      <c r="B585" s="39"/>
      <c r="C585" s="40"/>
      <c r="D585" s="40"/>
      <c r="E585" s="40"/>
      <c r="F585" s="40"/>
      <c r="G585" s="40"/>
    </row>
    <row r="586">
      <c r="A586" s="28"/>
      <c r="B586" s="39"/>
      <c r="C586" s="40"/>
      <c r="D586" s="40"/>
      <c r="E586" s="40"/>
      <c r="F586" s="40"/>
      <c r="G586" s="40"/>
    </row>
    <row r="587">
      <c r="A587" s="28"/>
      <c r="B587" s="39"/>
      <c r="C587" s="40"/>
      <c r="D587" s="40"/>
      <c r="E587" s="40"/>
      <c r="F587" s="40"/>
      <c r="G587" s="40"/>
    </row>
    <row r="588">
      <c r="A588" s="28"/>
      <c r="B588" s="39"/>
      <c r="C588" s="40"/>
      <c r="D588" s="40"/>
      <c r="E588" s="40"/>
      <c r="F588" s="40"/>
      <c r="G588" s="40"/>
    </row>
    <row r="589">
      <c r="A589" s="28"/>
      <c r="B589" s="39"/>
      <c r="C589" s="40"/>
      <c r="D589" s="40"/>
      <c r="E589" s="40"/>
      <c r="F589" s="40"/>
      <c r="G589" s="40"/>
    </row>
    <row r="590">
      <c r="A590" s="28"/>
      <c r="B590" s="39"/>
      <c r="C590" s="40"/>
      <c r="D590" s="40"/>
      <c r="E590" s="40"/>
      <c r="F590" s="40"/>
      <c r="G590" s="40"/>
    </row>
    <row r="591">
      <c r="A591" s="28"/>
      <c r="B591" s="39"/>
      <c r="C591" s="40"/>
      <c r="D591" s="40"/>
      <c r="E591" s="40"/>
      <c r="F591" s="40"/>
      <c r="G591" s="40"/>
    </row>
    <row r="592">
      <c r="A592" s="28"/>
      <c r="B592" s="39"/>
      <c r="C592" s="40"/>
      <c r="D592" s="40"/>
      <c r="E592" s="40"/>
      <c r="F592" s="40"/>
      <c r="G592" s="40"/>
    </row>
    <row r="593">
      <c r="A593" s="28"/>
      <c r="B593" s="39"/>
      <c r="C593" s="40"/>
      <c r="D593" s="40"/>
      <c r="E593" s="40"/>
      <c r="F593" s="40"/>
      <c r="G593" s="40"/>
    </row>
    <row r="594">
      <c r="A594" s="28"/>
      <c r="B594" s="39"/>
      <c r="C594" s="40"/>
      <c r="D594" s="40"/>
      <c r="E594" s="40"/>
      <c r="F594" s="40"/>
      <c r="G594" s="40"/>
    </row>
    <row r="595">
      <c r="A595" s="28"/>
      <c r="B595" s="39"/>
      <c r="C595" s="40"/>
      <c r="D595" s="40"/>
      <c r="E595" s="40"/>
      <c r="F595" s="40"/>
      <c r="G595" s="40"/>
    </row>
    <row r="596">
      <c r="A596" s="28"/>
      <c r="B596" s="39"/>
      <c r="C596" s="40"/>
      <c r="D596" s="40"/>
      <c r="E596" s="40"/>
      <c r="F596" s="40"/>
      <c r="G596" s="40"/>
    </row>
    <row r="597">
      <c r="A597" s="28"/>
      <c r="B597" s="39"/>
      <c r="C597" s="40"/>
      <c r="D597" s="40"/>
      <c r="E597" s="40"/>
      <c r="F597" s="40"/>
      <c r="G597" s="40"/>
    </row>
    <row r="598">
      <c r="A598" s="28"/>
      <c r="B598" s="39"/>
      <c r="C598" s="40"/>
      <c r="D598" s="40"/>
      <c r="E598" s="40"/>
      <c r="F598" s="40"/>
      <c r="G598" s="40"/>
    </row>
    <row r="599">
      <c r="A599" s="28"/>
      <c r="B599" s="39"/>
      <c r="C599" s="40"/>
      <c r="D599" s="40"/>
      <c r="E599" s="40"/>
      <c r="F599" s="40"/>
      <c r="G599" s="40"/>
    </row>
    <row r="600">
      <c r="A600" s="28"/>
      <c r="B600" s="39"/>
      <c r="C600" s="40"/>
      <c r="D600" s="40"/>
      <c r="E600" s="40"/>
      <c r="F600" s="40"/>
      <c r="G600" s="40"/>
    </row>
    <row r="601">
      <c r="A601" s="28"/>
      <c r="B601" s="39"/>
      <c r="C601" s="40"/>
      <c r="D601" s="40"/>
      <c r="E601" s="40"/>
      <c r="F601" s="40"/>
      <c r="G601" s="40"/>
    </row>
    <row r="602">
      <c r="A602" s="28"/>
      <c r="B602" s="39"/>
      <c r="C602" s="40"/>
      <c r="D602" s="40"/>
      <c r="E602" s="40"/>
      <c r="F602" s="40"/>
      <c r="G602" s="40"/>
    </row>
    <row r="603">
      <c r="A603" s="28"/>
      <c r="B603" s="39"/>
      <c r="C603" s="40"/>
      <c r="D603" s="40"/>
      <c r="E603" s="40"/>
      <c r="F603" s="40"/>
      <c r="G603" s="40"/>
    </row>
    <row r="604">
      <c r="A604" s="28"/>
      <c r="B604" s="39"/>
      <c r="C604" s="40"/>
      <c r="D604" s="40"/>
      <c r="E604" s="40"/>
      <c r="F604" s="40"/>
      <c r="G604" s="40"/>
    </row>
    <row r="605">
      <c r="A605" s="28"/>
      <c r="B605" s="39"/>
      <c r="C605" s="40"/>
      <c r="D605" s="40"/>
      <c r="E605" s="40"/>
      <c r="F605" s="40"/>
      <c r="G605" s="40"/>
    </row>
    <row r="606">
      <c r="A606" s="28"/>
      <c r="B606" s="39"/>
      <c r="C606" s="40"/>
      <c r="D606" s="40"/>
      <c r="E606" s="40"/>
      <c r="F606" s="40"/>
      <c r="G606" s="40"/>
    </row>
    <row r="607">
      <c r="A607" s="28"/>
      <c r="B607" s="39"/>
      <c r="C607" s="40"/>
      <c r="D607" s="40"/>
      <c r="E607" s="40"/>
      <c r="F607" s="40"/>
      <c r="G607" s="40"/>
    </row>
    <row r="608">
      <c r="A608" s="28"/>
      <c r="B608" s="39"/>
      <c r="C608" s="40"/>
      <c r="D608" s="40"/>
      <c r="E608" s="40"/>
      <c r="F608" s="40"/>
      <c r="G608" s="40"/>
    </row>
    <row r="609">
      <c r="A609" s="28"/>
      <c r="B609" s="39"/>
      <c r="C609" s="40"/>
      <c r="D609" s="40"/>
      <c r="E609" s="40"/>
      <c r="F609" s="40"/>
      <c r="G609" s="40"/>
    </row>
    <row r="610">
      <c r="A610" s="28"/>
      <c r="B610" s="39"/>
      <c r="C610" s="40"/>
      <c r="D610" s="40"/>
      <c r="E610" s="40"/>
      <c r="F610" s="40"/>
      <c r="G610" s="40"/>
    </row>
    <row r="611">
      <c r="A611" s="28"/>
      <c r="B611" s="39"/>
      <c r="C611" s="40"/>
      <c r="D611" s="40"/>
      <c r="E611" s="40"/>
      <c r="F611" s="40"/>
      <c r="G611" s="40"/>
    </row>
    <row r="612">
      <c r="A612" s="28"/>
      <c r="B612" s="39"/>
      <c r="C612" s="40"/>
      <c r="D612" s="40"/>
      <c r="E612" s="40"/>
      <c r="F612" s="40"/>
      <c r="G612" s="40"/>
    </row>
    <row r="613">
      <c r="A613" s="28"/>
      <c r="B613" s="39"/>
      <c r="C613" s="40"/>
      <c r="D613" s="40"/>
      <c r="E613" s="40"/>
      <c r="F613" s="40"/>
      <c r="G613" s="40"/>
    </row>
    <row r="614">
      <c r="A614" s="28"/>
      <c r="B614" s="39"/>
      <c r="C614" s="40"/>
      <c r="D614" s="40"/>
      <c r="E614" s="40"/>
      <c r="F614" s="40"/>
      <c r="G614" s="40"/>
    </row>
    <row r="615">
      <c r="A615" s="28"/>
      <c r="B615" s="39"/>
      <c r="C615" s="40"/>
      <c r="D615" s="40"/>
      <c r="E615" s="40"/>
      <c r="F615" s="40"/>
      <c r="G615" s="40"/>
    </row>
    <row r="616">
      <c r="A616" s="28"/>
      <c r="B616" s="39"/>
      <c r="C616" s="40"/>
      <c r="D616" s="40"/>
      <c r="E616" s="40"/>
      <c r="F616" s="40"/>
      <c r="G616" s="40"/>
    </row>
    <row r="617">
      <c r="A617" s="28"/>
      <c r="B617" s="39"/>
      <c r="C617" s="40"/>
      <c r="D617" s="40"/>
      <c r="E617" s="40"/>
      <c r="F617" s="40"/>
      <c r="G617" s="40"/>
    </row>
    <row r="618">
      <c r="A618" s="28"/>
      <c r="B618" s="39"/>
      <c r="C618" s="40"/>
      <c r="D618" s="40"/>
      <c r="E618" s="40"/>
      <c r="F618" s="40"/>
      <c r="G618" s="40"/>
    </row>
    <row r="619">
      <c r="A619" s="28"/>
      <c r="B619" s="39"/>
      <c r="C619" s="40"/>
      <c r="D619" s="40"/>
      <c r="E619" s="40"/>
      <c r="F619" s="40"/>
      <c r="G619" s="40"/>
    </row>
    <row r="620">
      <c r="A620" s="28"/>
      <c r="B620" s="39"/>
      <c r="C620" s="40"/>
      <c r="D620" s="40"/>
      <c r="E620" s="40"/>
      <c r="F620" s="40"/>
      <c r="G620" s="40"/>
    </row>
    <row r="621">
      <c r="A621" s="28"/>
      <c r="B621" s="39"/>
      <c r="C621" s="40"/>
      <c r="D621" s="40"/>
      <c r="E621" s="40"/>
      <c r="F621" s="40"/>
      <c r="G621" s="40"/>
    </row>
    <row r="622">
      <c r="A622" s="28"/>
      <c r="B622" s="39"/>
      <c r="C622" s="40"/>
      <c r="D622" s="40"/>
      <c r="E622" s="40"/>
      <c r="F622" s="40"/>
      <c r="G622" s="40"/>
    </row>
    <row r="623">
      <c r="A623" s="28"/>
      <c r="B623" s="39"/>
      <c r="C623" s="40"/>
      <c r="D623" s="40"/>
      <c r="E623" s="40"/>
      <c r="F623" s="40"/>
      <c r="G623" s="40"/>
    </row>
    <row r="624">
      <c r="A624" s="28"/>
      <c r="B624" s="39"/>
      <c r="C624" s="40"/>
      <c r="D624" s="40"/>
      <c r="E624" s="40"/>
      <c r="F624" s="40"/>
      <c r="G624" s="40"/>
    </row>
    <row r="625">
      <c r="A625" s="28"/>
      <c r="B625" s="39"/>
      <c r="C625" s="40"/>
      <c r="D625" s="40"/>
      <c r="E625" s="40"/>
      <c r="F625" s="40"/>
      <c r="G625" s="40"/>
    </row>
    <row r="626">
      <c r="A626" s="28"/>
      <c r="B626" s="39"/>
      <c r="C626" s="40"/>
      <c r="D626" s="40"/>
      <c r="E626" s="40"/>
      <c r="F626" s="40"/>
      <c r="G626" s="40"/>
    </row>
    <row r="627">
      <c r="A627" s="28"/>
      <c r="B627" s="39"/>
      <c r="C627" s="40"/>
      <c r="D627" s="40"/>
      <c r="E627" s="40"/>
      <c r="F627" s="40"/>
      <c r="G627" s="40"/>
    </row>
    <row r="628">
      <c r="A628" s="28"/>
      <c r="B628" s="39"/>
      <c r="C628" s="40"/>
      <c r="D628" s="40"/>
      <c r="E628" s="40"/>
      <c r="F628" s="40"/>
      <c r="G628" s="40"/>
    </row>
    <row r="629">
      <c r="A629" s="28"/>
      <c r="B629" s="39"/>
      <c r="C629" s="40"/>
      <c r="D629" s="40"/>
      <c r="E629" s="40"/>
      <c r="F629" s="40"/>
      <c r="G629" s="40"/>
    </row>
    <row r="630">
      <c r="A630" s="28"/>
      <c r="B630" s="39"/>
      <c r="C630" s="40"/>
      <c r="D630" s="40"/>
      <c r="E630" s="40"/>
      <c r="F630" s="40"/>
      <c r="G630" s="40"/>
    </row>
    <row r="631">
      <c r="A631" s="28"/>
      <c r="B631" s="39"/>
      <c r="C631" s="40"/>
      <c r="D631" s="40"/>
      <c r="E631" s="40"/>
      <c r="F631" s="40"/>
      <c r="G631" s="40"/>
    </row>
    <row r="632">
      <c r="A632" s="28"/>
      <c r="B632" s="39"/>
      <c r="C632" s="40"/>
      <c r="D632" s="40"/>
      <c r="E632" s="40"/>
      <c r="F632" s="40"/>
      <c r="G632" s="40"/>
    </row>
    <row r="633">
      <c r="A633" s="28"/>
      <c r="B633" s="39"/>
      <c r="C633" s="40"/>
      <c r="D633" s="40"/>
      <c r="E633" s="40"/>
      <c r="F633" s="40"/>
      <c r="G633" s="40"/>
    </row>
    <row r="634">
      <c r="A634" s="28"/>
      <c r="B634" s="39"/>
      <c r="C634" s="40"/>
      <c r="D634" s="40"/>
      <c r="E634" s="40"/>
      <c r="F634" s="40"/>
      <c r="G634" s="40"/>
    </row>
    <row r="635">
      <c r="A635" s="28"/>
      <c r="B635" s="39"/>
      <c r="C635" s="40"/>
      <c r="D635" s="40"/>
      <c r="E635" s="40"/>
      <c r="F635" s="40"/>
      <c r="G635" s="40"/>
    </row>
    <row r="636">
      <c r="A636" s="28"/>
      <c r="B636" s="39"/>
      <c r="C636" s="40"/>
      <c r="D636" s="40"/>
      <c r="E636" s="40"/>
      <c r="F636" s="40"/>
      <c r="G636" s="40"/>
    </row>
    <row r="637">
      <c r="A637" s="28"/>
      <c r="B637" s="39"/>
      <c r="C637" s="40"/>
      <c r="D637" s="40"/>
      <c r="E637" s="40"/>
      <c r="F637" s="40"/>
      <c r="G637" s="40"/>
    </row>
    <row r="638">
      <c r="A638" s="28"/>
      <c r="B638" s="39"/>
      <c r="C638" s="40"/>
      <c r="D638" s="40"/>
      <c r="E638" s="40"/>
      <c r="F638" s="40"/>
      <c r="G638" s="40"/>
    </row>
    <row r="639">
      <c r="A639" s="28"/>
      <c r="B639" s="39"/>
      <c r="C639" s="40"/>
      <c r="D639" s="40"/>
      <c r="E639" s="40"/>
      <c r="F639" s="40"/>
      <c r="G639" s="40"/>
    </row>
    <row r="640">
      <c r="A640" s="28"/>
      <c r="B640" s="39"/>
      <c r="C640" s="40"/>
      <c r="D640" s="40"/>
      <c r="E640" s="40"/>
      <c r="F640" s="40"/>
      <c r="G640" s="40"/>
    </row>
    <row r="641">
      <c r="A641" s="28"/>
      <c r="B641" s="39"/>
      <c r="C641" s="40"/>
      <c r="D641" s="40"/>
      <c r="E641" s="40"/>
      <c r="F641" s="40"/>
      <c r="G641" s="40"/>
    </row>
    <row r="642">
      <c r="A642" s="28"/>
      <c r="B642" s="39"/>
      <c r="C642" s="40"/>
      <c r="D642" s="40"/>
      <c r="E642" s="40"/>
      <c r="F642" s="40"/>
      <c r="G642" s="40"/>
    </row>
    <row r="643">
      <c r="A643" s="28"/>
      <c r="B643" s="39"/>
      <c r="C643" s="40"/>
      <c r="D643" s="40"/>
      <c r="E643" s="40"/>
      <c r="F643" s="40"/>
      <c r="G643" s="40"/>
    </row>
    <row r="644">
      <c r="A644" s="28"/>
      <c r="B644" s="39"/>
      <c r="C644" s="40"/>
      <c r="D644" s="40"/>
      <c r="E644" s="40"/>
      <c r="F644" s="40"/>
      <c r="G644" s="40"/>
    </row>
    <row r="645">
      <c r="A645" s="28"/>
      <c r="B645" s="39"/>
      <c r="C645" s="40"/>
      <c r="D645" s="40"/>
      <c r="E645" s="40"/>
      <c r="F645" s="40"/>
      <c r="G645" s="40"/>
    </row>
    <row r="646">
      <c r="A646" s="28"/>
      <c r="B646" s="39"/>
      <c r="C646" s="40"/>
      <c r="D646" s="40"/>
      <c r="E646" s="40"/>
      <c r="F646" s="40"/>
      <c r="G646" s="40"/>
    </row>
    <row r="647">
      <c r="A647" s="28"/>
      <c r="B647" s="39"/>
      <c r="C647" s="40"/>
      <c r="D647" s="40"/>
      <c r="E647" s="40"/>
      <c r="F647" s="40"/>
      <c r="G647" s="40"/>
    </row>
    <row r="648">
      <c r="A648" s="28"/>
      <c r="B648" s="39"/>
      <c r="C648" s="40"/>
      <c r="D648" s="40"/>
      <c r="E648" s="40"/>
      <c r="F648" s="40"/>
      <c r="G648" s="40"/>
    </row>
    <row r="649">
      <c r="A649" s="28"/>
      <c r="B649" s="39"/>
      <c r="C649" s="40"/>
      <c r="D649" s="40"/>
      <c r="E649" s="40"/>
      <c r="F649" s="40"/>
      <c r="G649" s="40"/>
    </row>
    <row r="650">
      <c r="A650" s="28"/>
      <c r="B650" s="39"/>
      <c r="C650" s="40"/>
      <c r="D650" s="40"/>
      <c r="E650" s="40"/>
      <c r="F650" s="40"/>
      <c r="G650" s="40"/>
    </row>
    <row r="651">
      <c r="A651" s="28"/>
      <c r="B651" s="39"/>
      <c r="C651" s="40"/>
      <c r="D651" s="40"/>
      <c r="E651" s="40"/>
      <c r="F651" s="40"/>
      <c r="G651" s="40"/>
    </row>
    <row r="652">
      <c r="A652" s="28"/>
      <c r="B652" s="39"/>
      <c r="C652" s="40"/>
      <c r="D652" s="40"/>
      <c r="E652" s="40"/>
      <c r="F652" s="40"/>
      <c r="G652" s="40"/>
    </row>
    <row r="653">
      <c r="A653" s="28"/>
      <c r="B653" s="39"/>
      <c r="C653" s="40"/>
      <c r="D653" s="40"/>
      <c r="E653" s="40"/>
      <c r="F653" s="40"/>
      <c r="G653" s="40"/>
    </row>
    <row r="654">
      <c r="A654" s="28"/>
      <c r="B654" s="39"/>
      <c r="C654" s="40"/>
      <c r="D654" s="40"/>
      <c r="E654" s="40"/>
      <c r="F654" s="40"/>
      <c r="G654" s="40"/>
    </row>
    <row r="655">
      <c r="A655" s="28"/>
      <c r="B655" s="39"/>
      <c r="C655" s="40"/>
      <c r="D655" s="40"/>
      <c r="E655" s="40"/>
      <c r="F655" s="40"/>
      <c r="G655" s="40"/>
    </row>
    <row r="656">
      <c r="A656" s="28"/>
      <c r="B656" s="39"/>
      <c r="C656" s="40"/>
      <c r="D656" s="40"/>
      <c r="E656" s="40"/>
      <c r="F656" s="40"/>
      <c r="G656" s="40"/>
    </row>
    <row r="657">
      <c r="A657" s="28"/>
      <c r="B657" s="39"/>
      <c r="C657" s="40"/>
      <c r="D657" s="40"/>
      <c r="E657" s="40"/>
      <c r="F657" s="40"/>
      <c r="G657" s="40"/>
    </row>
    <row r="658">
      <c r="A658" s="28"/>
      <c r="B658" s="39"/>
      <c r="C658" s="40"/>
      <c r="D658" s="40"/>
      <c r="E658" s="40"/>
      <c r="F658" s="40"/>
      <c r="G658" s="40"/>
    </row>
    <row r="659">
      <c r="A659" s="28"/>
      <c r="B659" s="39"/>
      <c r="C659" s="40"/>
      <c r="D659" s="40"/>
      <c r="E659" s="40"/>
      <c r="F659" s="40"/>
      <c r="G659" s="40"/>
    </row>
    <row r="660">
      <c r="A660" s="28"/>
      <c r="B660" s="39"/>
      <c r="C660" s="40"/>
      <c r="D660" s="40"/>
      <c r="E660" s="40"/>
      <c r="F660" s="40"/>
      <c r="G660" s="40"/>
    </row>
    <row r="661">
      <c r="A661" s="28"/>
      <c r="B661" s="39"/>
      <c r="C661" s="40"/>
      <c r="D661" s="40"/>
      <c r="E661" s="40"/>
      <c r="F661" s="40"/>
      <c r="G661" s="40"/>
    </row>
    <row r="662">
      <c r="A662" s="28"/>
      <c r="B662" s="39"/>
      <c r="C662" s="40"/>
      <c r="D662" s="40"/>
      <c r="E662" s="40"/>
      <c r="F662" s="40"/>
      <c r="G662" s="40"/>
    </row>
    <row r="663">
      <c r="A663" s="28"/>
      <c r="B663" s="39"/>
      <c r="C663" s="40"/>
      <c r="D663" s="40"/>
      <c r="E663" s="40"/>
      <c r="F663" s="40"/>
      <c r="G663" s="40"/>
    </row>
    <row r="664">
      <c r="A664" s="28"/>
      <c r="B664" s="39"/>
      <c r="C664" s="40"/>
      <c r="D664" s="40"/>
      <c r="E664" s="40"/>
      <c r="F664" s="40"/>
      <c r="G664" s="40"/>
    </row>
    <row r="665">
      <c r="A665" s="28"/>
      <c r="B665" s="39"/>
      <c r="C665" s="40"/>
      <c r="D665" s="40"/>
      <c r="E665" s="40"/>
      <c r="F665" s="40"/>
      <c r="G665" s="40"/>
    </row>
    <row r="666">
      <c r="A666" s="28"/>
      <c r="B666" s="39"/>
      <c r="C666" s="40"/>
      <c r="D666" s="40"/>
      <c r="E666" s="40"/>
      <c r="F666" s="40"/>
      <c r="G666" s="40"/>
    </row>
    <row r="667">
      <c r="A667" s="28"/>
      <c r="B667" s="39"/>
      <c r="C667" s="40"/>
      <c r="D667" s="40"/>
      <c r="E667" s="40"/>
      <c r="F667" s="40"/>
      <c r="G667" s="40"/>
    </row>
    <row r="668">
      <c r="A668" s="28"/>
      <c r="B668" s="39"/>
      <c r="C668" s="40"/>
      <c r="D668" s="40"/>
      <c r="E668" s="40"/>
      <c r="F668" s="40"/>
      <c r="G668" s="40"/>
    </row>
    <row r="669">
      <c r="A669" s="28"/>
      <c r="B669" s="39"/>
      <c r="C669" s="40"/>
      <c r="D669" s="40"/>
      <c r="E669" s="40"/>
      <c r="F669" s="40"/>
      <c r="G669" s="40"/>
    </row>
    <row r="670">
      <c r="A670" s="28"/>
      <c r="B670" s="39"/>
      <c r="C670" s="40"/>
      <c r="D670" s="40"/>
      <c r="E670" s="40"/>
      <c r="F670" s="40"/>
      <c r="G670" s="40"/>
    </row>
    <row r="671">
      <c r="A671" s="28"/>
      <c r="B671" s="39"/>
      <c r="C671" s="40"/>
      <c r="D671" s="40"/>
      <c r="E671" s="40"/>
      <c r="F671" s="40"/>
      <c r="G671" s="40"/>
    </row>
    <row r="672">
      <c r="A672" s="28"/>
      <c r="B672" s="39"/>
      <c r="C672" s="40"/>
      <c r="D672" s="40"/>
      <c r="E672" s="40"/>
      <c r="F672" s="40"/>
      <c r="G672" s="40"/>
    </row>
    <row r="673">
      <c r="A673" s="28"/>
      <c r="B673" s="39"/>
      <c r="C673" s="40"/>
      <c r="D673" s="40"/>
      <c r="E673" s="40"/>
      <c r="F673" s="40"/>
      <c r="G673" s="40"/>
    </row>
    <row r="674">
      <c r="A674" s="28"/>
      <c r="B674" s="39"/>
      <c r="C674" s="40"/>
      <c r="D674" s="40"/>
      <c r="E674" s="40"/>
      <c r="F674" s="40"/>
      <c r="G674" s="40"/>
    </row>
    <row r="675">
      <c r="A675" s="28"/>
      <c r="B675" s="39"/>
      <c r="C675" s="40"/>
      <c r="D675" s="40"/>
      <c r="E675" s="40"/>
      <c r="F675" s="40"/>
      <c r="G675" s="40"/>
    </row>
    <row r="676">
      <c r="A676" s="28"/>
      <c r="B676" s="39"/>
      <c r="C676" s="40"/>
      <c r="D676" s="40"/>
      <c r="E676" s="40"/>
      <c r="F676" s="40"/>
      <c r="G676" s="40"/>
    </row>
    <row r="677">
      <c r="A677" s="28"/>
      <c r="B677" s="39"/>
      <c r="C677" s="40"/>
      <c r="D677" s="40"/>
      <c r="E677" s="40"/>
      <c r="F677" s="40"/>
      <c r="G677" s="40"/>
    </row>
    <row r="678">
      <c r="A678" s="28"/>
      <c r="B678" s="39"/>
      <c r="C678" s="40"/>
      <c r="D678" s="40"/>
      <c r="E678" s="40"/>
      <c r="F678" s="40"/>
      <c r="G678" s="40"/>
    </row>
    <row r="679">
      <c r="A679" s="28"/>
      <c r="B679" s="39"/>
      <c r="C679" s="40"/>
      <c r="D679" s="40"/>
      <c r="E679" s="40"/>
      <c r="F679" s="40"/>
      <c r="G679" s="40"/>
    </row>
    <row r="680">
      <c r="A680" s="28"/>
      <c r="B680" s="39"/>
      <c r="C680" s="40"/>
      <c r="D680" s="40"/>
      <c r="E680" s="40"/>
      <c r="F680" s="40"/>
      <c r="G680" s="40"/>
    </row>
    <row r="681">
      <c r="A681" s="28"/>
      <c r="B681" s="39"/>
      <c r="C681" s="40"/>
      <c r="D681" s="40"/>
      <c r="E681" s="40"/>
      <c r="F681" s="40"/>
      <c r="G681" s="40"/>
    </row>
    <row r="682">
      <c r="A682" s="28"/>
      <c r="B682" s="39"/>
      <c r="C682" s="40"/>
      <c r="D682" s="40"/>
      <c r="E682" s="40"/>
      <c r="F682" s="40"/>
      <c r="G682" s="40"/>
    </row>
    <row r="683">
      <c r="A683" s="28"/>
      <c r="B683" s="39"/>
      <c r="C683" s="40"/>
      <c r="D683" s="40"/>
      <c r="E683" s="40"/>
      <c r="F683" s="40"/>
      <c r="G683" s="40"/>
    </row>
    <row r="684">
      <c r="A684" s="28"/>
      <c r="B684" s="39"/>
      <c r="C684" s="40"/>
      <c r="D684" s="40"/>
      <c r="E684" s="40"/>
      <c r="F684" s="40"/>
      <c r="G684" s="40"/>
    </row>
    <row r="685">
      <c r="A685" s="28"/>
      <c r="B685" s="39"/>
      <c r="C685" s="40"/>
      <c r="D685" s="40"/>
      <c r="E685" s="40"/>
      <c r="F685" s="40"/>
      <c r="G685" s="40"/>
    </row>
    <row r="686">
      <c r="A686" s="28"/>
      <c r="B686" s="39"/>
      <c r="C686" s="40"/>
      <c r="D686" s="40"/>
      <c r="E686" s="40"/>
      <c r="F686" s="40"/>
      <c r="G686" s="40"/>
    </row>
    <row r="687">
      <c r="A687" s="28"/>
      <c r="B687" s="39"/>
      <c r="C687" s="40"/>
      <c r="D687" s="40"/>
      <c r="E687" s="40"/>
      <c r="F687" s="40"/>
      <c r="G687" s="40"/>
    </row>
    <row r="688">
      <c r="A688" s="28"/>
      <c r="B688" s="39"/>
      <c r="C688" s="40"/>
      <c r="D688" s="40"/>
      <c r="E688" s="40"/>
      <c r="F688" s="40"/>
      <c r="G688" s="40"/>
    </row>
    <row r="689">
      <c r="A689" s="28"/>
      <c r="B689" s="39"/>
      <c r="C689" s="40"/>
      <c r="D689" s="40"/>
      <c r="E689" s="40"/>
      <c r="F689" s="40"/>
      <c r="G689" s="40"/>
    </row>
    <row r="690">
      <c r="A690" s="28"/>
      <c r="B690" s="39"/>
      <c r="C690" s="40"/>
      <c r="D690" s="40"/>
      <c r="E690" s="40"/>
      <c r="F690" s="40"/>
      <c r="G690" s="40"/>
    </row>
    <row r="691">
      <c r="A691" s="28"/>
      <c r="B691" s="39"/>
      <c r="C691" s="40"/>
      <c r="D691" s="40"/>
      <c r="E691" s="40"/>
      <c r="F691" s="40"/>
      <c r="G691" s="40"/>
    </row>
    <row r="692">
      <c r="A692" s="28"/>
      <c r="B692" s="39"/>
      <c r="C692" s="40"/>
      <c r="D692" s="40"/>
      <c r="E692" s="40"/>
      <c r="F692" s="40"/>
      <c r="G692" s="40"/>
    </row>
    <row r="693">
      <c r="A693" s="28"/>
      <c r="B693" s="39"/>
      <c r="C693" s="40"/>
      <c r="D693" s="40"/>
      <c r="E693" s="40"/>
      <c r="F693" s="40"/>
      <c r="G693" s="40"/>
    </row>
    <row r="694">
      <c r="A694" s="28"/>
      <c r="B694" s="39"/>
      <c r="C694" s="40"/>
      <c r="D694" s="40"/>
      <c r="E694" s="40"/>
      <c r="F694" s="40"/>
      <c r="G694" s="40"/>
    </row>
    <row r="695">
      <c r="A695" s="28"/>
      <c r="B695" s="39"/>
      <c r="C695" s="40"/>
      <c r="D695" s="40"/>
      <c r="E695" s="40"/>
      <c r="F695" s="40"/>
      <c r="G695" s="40"/>
    </row>
    <row r="696">
      <c r="A696" s="28"/>
      <c r="B696" s="39"/>
      <c r="C696" s="40"/>
      <c r="D696" s="40"/>
      <c r="E696" s="40"/>
      <c r="F696" s="40"/>
      <c r="G696" s="40"/>
    </row>
    <row r="697">
      <c r="A697" s="28"/>
      <c r="B697" s="39"/>
      <c r="C697" s="40"/>
      <c r="D697" s="40"/>
      <c r="E697" s="40"/>
      <c r="F697" s="40"/>
      <c r="G697" s="40"/>
    </row>
    <row r="698">
      <c r="A698" s="28"/>
      <c r="B698" s="39"/>
      <c r="C698" s="40"/>
      <c r="D698" s="40"/>
      <c r="E698" s="40"/>
      <c r="F698" s="40"/>
      <c r="G698" s="40"/>
    </row>
    <row r="699">
      <c r="A699" s="28"/>
      <c r="B699" s="39"/>
      <c r="C699" s="40"/>
      <c r="D699" s="40"/>
      <c r="E699" s="40"/>
      <c r="F699" s="40"/>
      <c r="G699" s="40"/>
    </row>
    <row r="700">
      <c r="A700" s="28"/>
      <c r="B700" s="39"/>
      <c r="C700" s="40"/>
      <c r="D700" s="40"/>
      <c r="E700" s="40"/>
      <c r="F700" s="40"/>
      <c r="G700" s="40"/>
    </row>
    <row r="701">
      <c r="A701" s="28"/>
      <c r="B701" s="39"/>
      <c r="C701" s="40"/>
      <c r="D701" s="40"/>
      <c r="E701" s="40"/>
      <c r="F701" s="40"/>
      <c r="G701" s="40"/>
    </row>
    <row r="702">
      <c r="A702" s="28"/>
      <c r="B702" s="39"/>
      <c r="C702" s="40"/>
      <c r="D702" s="40"/>
      <c r="E702" s="40"/>
      <c r="F702" s="40"/>
      <c r="G702" s="40"/>
    </row>
    <row r="703">
      <c r="A703" s="28"/>
      <c r="B703" s="39"/>
      <c r="C703" s="40"/>
      <c r="D703" s="40"/>
      <c r="E703" s="40"/>
      <c r="F703" s="40"/>
      <c r="G703" s="40"/>
    </row>
    <row r="704">
      <c r="A704" s="28"/>
      <c r="B704" s="39"/>
      <c r="C704" s="40"/>
      <c r="D704" s="40"/>
      <c r="E704" s="40"/>
      <c r="F704" s="40"/>
      <c r="G704" s="40"/>
    </row>
    <row r="705">
      <c r="A705" s="28"/>
      <c r="B705" s="39"/>
      <c r="C705" s="40"/>
      <c r="D705" s="40"/>
      <c r="E705" s="40"/>
      <c r="F705" s="40"/>
      <c r="G705" s="40"/>
    </row>
    <row r="706">
      <c r="A706" s="28"/>
      <c r="B706" s="39"/>
      <c r="C706" s="40"/>
      <c r="D706" s="40"/>
      <c r="E706" s="40"/>
      <c r="F706" s="40"/>
      <c r="G706" s="40"/>
    </row>
    <row r="707">
      <c r="A707" s="28"/>
      <c r="B707" s="39"/>
      <c r="C707" s="40"/>
      <c r="D707" s="40"/>
      <c r="E707" s="40"/>
      <c r="F707" s="40"/>
      <c r="G707" s="40"/>
    </row>
    <row r="708">
      <c r="A708" s="28"/>
      <c r="B708" s="39"/>
      <c r="C708" s="40"/>
      <c r="D708" s="40"/>
      <c r="E708" s="40"/>
      <c r="F708" s="40"/>
      <c r="G708" s="40"/>
    </row>
    <row r="709">
      <c r="A709" s="28"/>
      <c r="B709" s="39"/>
      <c r="C709" s="40"/>
      <c r="D709" s="40"/>
      <c r="E709" s="40"/>
      <c r="F709" s="40"/>
      <c r="G709" s="40"/>
    </row>
    <row r="710">
      <c r="A710" s="28"/>
      <c r="B710" s="39"/>
      <c r="C710" s="40"/>
      <c r="D710" s="40"/>
      <c r="E710" s="40"/>
      <c r="F710" s="40"/>
      <c r="G710" s="40"/>
    </row>
    <row r="711">
      <c r="A711" s="28"/>
      <c r="B711" s="39"/>
      <c r="C711" s="40"/>
      <c r="D711" s="40"/>
      <c r="E711" s="40"/>
      <c r="F711" s="40"/>
      <c r="G711" s="40"/>
    </row>
    <row r="712">
      <c r="A712" s="28"/>
      <c r="B712" s="39"/>
      <c r="C712" s="40"/>
      <c r="D712" s="40"/>
      <c r="E712" s="40"/>
      <c r="F712" s="40"/>
      <c r="G712" s="40"/>
    </row>
    <row r="713">
      <c r="A713" s="28"/>
      <c r="B713" s="39"/>
      <c r="C713" s="40"/>
      <c r="D713" s="40"/>
      <c r="E713" s="40"/>
      <c r="F713" s="40"/>
      <c r="G713" s="40"/>
    </row>
    <row r="714">
      <c r="A714" s="28"/>
      <c r="B714" s="39"/>
      <c r="C714" s="40"/>
      <c r="D714" s="40"/>
      <c r="E714" s="40"/>
      <c r="F714" s="40"/>
      <c r="G714" s="40"/>
    </row>
    <row r="715">
      <c r="A715" s="28"/>
      <c r="B715" s="39"/>
      <c r="C715" s="40"/>
      <c r="D715" s="40"/>
      <c r="E715" s="40"/>
      <c r="F715" s="40"/>
      <c r="G715" s="40"/>
    </row>
    <row r="716">
      <c r="A716" s="28"/>
      <c r="B716" s="39"/>
      <c r="C716" s="40"/>
      <c r="D716" s="40"/>
      <c r="E716" s="40"/>
      <c r="F716" s="40"/>
      <c r="G716" s="40"/>
    </row>
    <row r="717">
      <c r="A717" s="28"/>
      <c r="B717" s="39"/>
      <c r="C717" s="40"/>
      <c r="D717" s="40"/>
      <c r="E717" s="40"/>
      <c r="F717" s="40"/>
      <c r="G717" s="40"/>
    </row>
    <row r="718">
      <c r="A718" s="28"/>
      <c r="B718" s="39"/>
      <c r="C718" s="40"/>
      <c r="D718" s="40"/>
      <c r="E718" s="40"/>
      <c r="F718" s="40"/>
      <c r="G718" s="40"/>
    </row>
    <row r="719">
      <c r="A719" s="28"/>
      <c r="B719" s="39"/>
      <c r="C719" s="40"/>
      <c r="D719" s="40"/>
      <c r="E719" s="40"/>
      <c r="F719" s="40"/>
      <c r="G719" s="40"/>
    </row>
    <row r="720">
      <c r="A720" s="28"/>
      <c r="B720" s="39"/>
      <c r="C720" s="40"/>
      <c r="D720" s="40"/>
      <c r="E720" s="40"/>
      <c r="F720" s="40"/>
      <c r="G720" s="40"/>
    </row>
    <row r="721">
      <c r="A721" s="28"/>
      <c r="B721" s="39"/>
      <c r="C721" s="40"/>
      <c r="D721" s="40"/>
      <c r="E721" s="40"/>
      <c r="F721" s="40"/>
      <c r="G721" s="40"/>
    </row>
    <row r="722">
      <c r="A722" s="28"/>
      <c r="B722" s="39"/>
      <c r="C722" s="40"/>
      <c r="D722" s="40"/>
      <c r="E722" s="40"/>
      <c r="F722" s="40"/>
      <c r="G722" s="40"/>
    </row>
    <row r="723">
      <c r="A723" s="28"/>
      <c r="B723" s="39"/>
      <c r="C723" s="40"/>
      <c r="D723" s="40"/>
      <c r="E723" s="40"/>
      <c r="F723" s="40"/>
      <c r="G723" s="40"/>
    </row>
    <row r="724">
      <c r="A724" s="28"/>
      <c r="B724" s="39"/>
      <c r="C724" s="40"/>
      <c r="D724" s="40"/>
      <c r="E724" s="40"/>
      <c r="F724" s="40"/>
      <c r="G724" s="40"/>
    </row>
    <row r="725">
      <c r="A725" s="28"/>
      <c r="B725" s="39"/>
      <c r="C725" s="40"/>
      <c r="D725" s="40"/>
      <c r="E725" s="40"/>
      <c r="F725" s="40"/>
      <c r="G725" s="40"/>
    </row>
    <row r="726">
      <c r="A726" s="28"/>
      <c r="B726" s="39"/>
      <c r="C726" s="40"/>
      <c r="D726" s="40"/>
      <c r="E726" s="40"/>
      <c r="F726" s="40"/>
      <c r="G726" s="40"/>
    </row>
    <row r="727">
      <c r="A727" s="28"/>
      <c r="B727" s="39"/>
      <c r="C727" s="40"/>
      <c r="D727" s="40"/>
      <c r="E727" s="40"/>
      <c r="F727" s="40"/>
      <c r="G727" s="40"/>
    </row>
    <row r="728">
      <c r="A728" s="28"/>
      <c r="B728" s="39"/>
      <c r="C728" s="40"/>
      <c r="D728" s="40"/>
      <c r="E728" s="40"/>
      <c r="F728" s="40"/>
      <c r="G728" s="40"/>
    </row>
    <row r="729">
      <c r="A729" s="28"/>
      <c r="B729" s="39"/>
      <c r="C729" s="40"/>
      <c r="D729" s="40"/>
      <c r="E729" s="40"/>
      <c r="F729" s="40"/>
      <c r="G729" s="40"/>
    </row>
    <row r="730">
      <c r="A730" s="28"/>
      <c r="B730" s="39"/>
      <c r="C730" s="40"/>
      <c r="D730" s="40"/>
      <c r="E730" s="40"/>
      <c r="F730" s="40"/>
      <c r="G730" s="40"/>
    </row>
    <row r="731">
      <c r="A731" s="28"/>
      <c r="B731" s="39"/>
      <c r="C731" s="40"/>
      <c r="D731" s="40"/>
      <c r="E731" s="40"/>
      <c r="F731" s="40"/>
      <c r="G731" s="40"/>
    </row>
    <row r="732">
      <c r="A732" s="28"/>
      <c r="B732" s="39"/>
      <c r="C732" s="40"/>
      <c r="D732" s="40"/>
      <c r="E732" s="40"/>
      <c r="F732" s="40"/>
      <c r="G732" s="40"/>
    </row>
    <row r="733">
      <c r="A733" s="28"/>
      <c r="B733" s="39"/>
      <c r="C733" s="40"/>
      <c r="D733" s="40"/>
      <c r="E733" s="40"/>
      <c r="F733" s="40"/>
      <c r="G733" s="40"/>
    </row>
    <row r="734">
      <c r="A734" s="28"/>
      <c r="B734" s="39"/>
      <c r="C734" s="40"/>
      <c r="D734" s="40"/>
      <c r="E734" s="40"/>
      <c r="F734" s="40"/>
      <c r="G734" s="40"/>
    </row>
    <row r="735">
      <c r="A735" s="28"/>
      <c r="B735" s="39"/>
      <c r="C735" s="40"/>
      <c r="D735" s="40"/>
      <c r="E735" s="40"/>
      <c r="F735" s="40"/>
      <c r="G735" s="40"/>
    </row>
    <row r="736">
      <c r="A736" s="28"/>
      <c r="B736" s="39"/>
      <c r="C736" s="40"/>
      <c r="D736" s="40"/>
      <c r="E736" s="40"/>
      <c r="F736" s="40"/>
      <c r="G736" s="40"/>
    </row>
    <row r="737">
      <c r="A737" s="28"/>
      <c r="B737" s="39"/>
      <c r="C737" s="40"/>
      <c r="D737" s="40"/>
      <c r="E737" s="40"/>
      <c r="F737" s="40"/>
      <c r="G737" s="40"/>
    </row>
    <row r="738">
      <c r="A738" s="28"/>
      <c r="B738" s="39"/>
      <c r="C738" s="40"/>
      <c r="D738" s="40"/>
      <c r="E738" s="40"/>
      <c r="F738" s="40"/>
      <c r="G738" s="40"/>
    </row>
    <row r="739">
      <c r="A739" s="28"/>
      <c r="B739" s="39"/>
      <c r="C739" s="40"/>
      <c r="D739" s="40"/>
      <c r="E739" s="40"/>
      <c r="F739" s="40"/>
      <c r="G739" s="40"/>
    </row>
    <row r="740">
      <c r="A740" s="28"/>
      <c r="B740" s="39"/>
      <c r="C740" s="40"/>
      <c r="D740" s="40"/>
      <c r="E740" s="40"/>
      <c r="F740" s="40"/>
      <c r="G740" s="40"/>
    </row>
    <row r="741">
      <c r="A741" s="28"/>
      <c r="B741" s="39"/>
      <c r="C741" s="40"/>
      <c r="D741" s="40"/>
      <c r="E741" s="40"/>
      <c r="F741" s="40"/>
      <c r="G741" s="40"/>
    </row>
    <row r="742">
      <c r="A742" s="28"/>
      <c r="B742" s="39"/>
      <c r="C742" s="40"/>
      <c r="D742" s="40"/>
      <c r="E742" s="40"/>
      <c r="F742" s="40"/>
      <c r="G742" s="40"/>
    </row>
    <row r="743">
      <c r="A743" s="28"/>
      <c r="B743" s="39"/>
      <c r="C743" s="40"/>
      <c r="D743" s="40"/>
      <c r="E743" s="40"/>
      <c r="F743" s="40"/>
      <c r="G743" s="40"/>
    </row>
    <row r="744">
      <c r="A744" s="28"/>
      <c r="B744" s="39"/>
      <c r="C744" s="40"/>
      <c r="D744" s="40"/>
      <c r="E744" s="40"/>
      <c r="F744" s="40"/>
      <c r="G744" s="40"/>
    </row>
    <row r="745">
      <c r="A745" s="28"/>
      <c r="B745" s="39"/>
      <c r="C745" s="40"/>
      <c r="D745" s="40"/>
      <c r="E745" s="40"/>
      <c r="F745" s="40"/>
      <c r="G745" s="40"/>
    </row>
    <row r="746">
      <c r="A746" s="28"/>
      <c r="B746" s="39"/>
      <c r="C746" s="40"/>
      <c r="D746" s="40"/>
      <c r="E746" s="40"/>
      <c r="F746" s="40"/>
      <c r="G746" s="40"/>
    </row>
    <row r="747">
      <c r="A747" s="28"/>
      <c r="B747" s="39"/>
      <c r="C747" s="40"/>
      <c r="D747" s="40"/>
      <c r="E747" s="40"/>
      <c r="F747" s="40"/>
      <c r="G747" s="40"/>
    </row>
    <row r="748">
      <c r="A748" s="28"/>
      <c r="B748" s="39"/>
      <c r="C748" s="40"/>
      <c r="D748" s="40"/>
      <c r="E748" s="40"/>
      <c r="F748" s="40"/>
      <c r="G748" s="40"/>
    </row>
    <row r="749">
      <c r="A749" s="28"/>
      <c r="B749" s="39"/>
      <c r="C749" s="40"/>
      <c r="D749" s="40"/>
      <c r="E749" s="40"/>
      <c r="F749" s="40"/>
      <c r="G749" s="40"/>
    </row>
    <row r="750">
      <c r="A750" s="28"/>
      <c r="B750" s="39"/>
      <c r="C750" s="40"/>
      <c r="D750" s="40"/>
      <c r="E750" s="40"/>
      <c r="F750" s="40"/>
      <c r="G750" s="40"/>
    </row>
    <row r="751">
      <c r="A751" s="28"/>
      <c r="B751" s="39"/>
      <c r="C751" s="40"/>
      <c r="D751" s="40"/>
      <c r="E751" s="40"/>
      <c r="F751" s="40"/>
      <c r="G751" s="40"/>
    </row>
    <row r="752">
      <c r="A752" s="28"/>
      <c r="B752" s="39"/>
      <c r="C752" s="40"/>
      <c r="D752" s="40"/>
      <c r="E752" s="40"/>
      <c r="F752" s="40"/>
      <c r="G752" s="40"/>
    </row>
    <row r="753">
      <c r="A753" s="28"/>
      <c r="B753" s="39"/>
      <c r="C753" s="40"/>
      <c r="D753" s="40"/>
      <c r="E753" s="40"/>
      <c r="F753" s="40"/>
      <c r="G753" s="40"/>
    </row>
    <row r="754">
      <c r="A754" s="28"/>
      <c r="B754" s="39"/>
      <c r="C754" s="40"/>
      <c r="D754" s="40"/>
      <c r="E754" s="40"/>
      <c r="F754" s="40"/>
      <c r="G754" s="40"/>
    </row>
    <row r="755">
      <c r="A755" s="28"/>
      <c r="B755" s="39"/>
      <c r="C755" s="40"/>
      <c r="D755" s="40"/>
      <c r="E755" s="40"/>
      <c r="F755" s="40"/>
      <c r="G755" s="40"/>
    </row>
    <row r="756">
      <c r="A756" s="28"/>
      <c r="B756" s="39"/>
      <c r="C756" s="40"/>
      <c r="D756" s="40"/>
      <c r="E756" s="40"/>
      <c r="F756" s="40"/>
      <c r="G756" s="40"/>
    </row>
    <row r="757">
      <c r="A757" s="28"/>
      <c r="B757" s="39"/>
      <c r="C757" s="40"/>
      <c r="D757" s="40"/>
      <c r="E757" s="40"/>
      <c r="F757" s="40"/>
      <c r="G757" s="40"/>
    </row>
    <row r="758">
      <c r="A758" s="28"/>
      <c r="B758" s="39"/>
      <c r="C758" s="40"/>
      <c r="D758" s="40"/>
      <c r="E758" s="40"/>
      <c r="F758" s="40"/>
      <c r="G758" s="40"/>
    </row>
    <row r="759">
      <c r="A759" s="28"/>
      <c r="B759" s="39"/>
      <c r="C759" s="40"/>
      <c r="D759" s="40"/>
      <c r="E759" s="40"/>
      <c r="F759" s="40"/>
      <c r="G759" s="40"/>
    </row>
    <row r="760">
      <c r="A760" s="28"/>
      <c r="B760" s="39"/>
      <c r="C760" s="40"/>
      <c r="D760" s="40"/>
      <c r="E760" s="40"/>
      <c r="F760" s="40"/>
      <c r="G760" s="40"/>
    </row>
    <row r="761">
      <c r="A761" s="28"/>
      <c r="B761" s="39"/>
      <c r="C761" s="40"/>
      <c r="D761" s="40"/>
      <c r="E761" s="40"/>
      <c r="F761" s="40"/>
      <c r="G761" s="40"/>
    </row>
    <row r="762">
      <c r="A762" s="28"/>
      <c r="B762" s="39"/>
      <c r="C762" s="40"/>
      <c r="D762" s="40"/>
      <c r="E762" s="40"/>
      <c r="F762" s="40"/>
      <c r="G762" s="40"/>
    </row>
    <row r="763">
      <c r="A763" s="28"/>
      <c r="B763" s="39"/>
      <c r="C763" s="40"/>
      <c r="D763" s="40"/>
      <c r="E763" s="40"/>
      <c r="F763" s="40"/>
      <c r="G763" s="40"/>
    </row>
    <row r="764">
      <c r="A764" s="28"/>
      <c r="B764" s="39"/>
      <c r="C764" s="40"/>
      <c r="D764" s="40"/>
      <c r="E764" s="40"/>
      <c r="F764" s="40"/>
      <c r="G764" s="40"/>
    </row>
    <row r="765">
      <c r="A765" s="28"/>
      <c r="B765" s="39"/>
      <c r="C765" s="40"/>
      <c r="D765" s="40"/>
      <c r="E765" s="40"/>
      <c r="F765" s="40"/>
      <c r="G765" s="40"/>
    </row>
    <row r="766">
      <c r="A766" s="28"/>
      <c r="B766" s="39"/>
      <c r="C766" s="40"/>
      <c r="D766" s="40"/>
      <c r="E766" s="40"/>
      <c r="F766" s="40"/>
      <c r="G766" s="40"/>
    </row>
    <row r="767">
      <c r="A767" s="28"/>
      <c r="B767" s="39"/>
      <c r="C767" s="40"/>
      <c r="D767" s="40"/>
      <c r="E767" s="40"/>
      <c r="F767" s="40"/>
      <c r="G767" s="40"/>
    </row>
    <row r="768">
      <c r="A768" s="28"/>
      <c r="B768" s="39"/>
      <c r="C768" s="40"/>
      <c r="D768" s="40"/>
      <c r="E768" s="40"/>
      <c r="F768" s="40"/>
      <c r="G768" s="40"/>
    </row>
    <row r="769">
      <c r="A769" s="28"/>
      <c r="B769" s="39"/>
      <c r="C769" s="40"/>
      <c r="D769" s="40"/>
      <c r="E769" s="40"/>
      <c r="F769" s="40"/>
      <c r="G769" s="40"/>
    </row>
    <row r="770">
      <c r="A770" s="28"/>
      <c r="B770" s="39"/>
      <c r="C770" s="40"/>
      <c r="D770" s="40"/>
      <c r="E770" s="40"/>
      <c r="F770" s="40"/>
      <c r="G770" s="40"/>
    </row>
    <row r="771">
      <c r="A771" s="28"/>
      <c r="B771" s="39"/>
      <c r="C771" s="40"/>
      <c r="D771" s="40"/>
      <c r="E771" s="40"/>
      <c r="F771" s="40"/>
      <c r="G771" s="40"/>
    </row>
    <row r="772">
      <c r="A772" s="28"/>
      <c r="B772" s="39"/>
      <c r="C772" s="40"/>
      <c r="D772" s="40"/>
      <c r="E772" s="40"/>
      <c r="F772" s="40"/>
      <c r="G772" s="40"/>
    </row>
    <row r="773">
      <c r="A773" s="28"/>
      <c r="B773" s="39"/>
      <c r="C773" s="40"/>
      <c r="D773" s="40"/>
      <c r="E773" s="40"/>
      <c r="F773" s="40"/>
      <c r="G773" s="40"/>
    </row>
    <row r="774">
      <c r="A774" s="28"/>
      <c r="B774" s="39"/>
      <c r="C774" s="40"/>
      <c r="D774" s="40"/>
      <c r="E774" s="40"/>
      <c r="F774" s="40"/>
      <c r="G774" s="40"/>
    </row>
    <row r="775">
      <c r="A775" s="28"/>
      <c r="B775" s="39"/>
      <c r="C775" s="40"/>
      <c r="D775" s="40"/>
      <c r="E775" s="40"/>
      <c r="F775" s="40"/>
      <c r="G775" s="40"/>
    </row>
    <row r="776">
      <c r="A776" s="28"/>
      <c r="B776" s="39"/>
      <c r="C776" s="40"/>
      <c r="D776" s="40"/>
      <c r="E776" s="40"/>
      <c r="F776" s="40"/>
      <c r="G776" s="40"/>
    </row>
    <row r="777">
      <c r="A777" s="28"/>
      <c r="B777" s="39"/>
      <c r="C777" s="40"/>
      <c r="D777" s="40"/>
      <c r="E777" s="40"/>
      <c r="F777" s="40"/>
      <c r="G777" s="40"/>
    </row>
    <row r="778">
      <c r="A778" s="28"/>
      <c r="B778" s="39"/>
      <c r="C778" s="40"/>
      <c r="D778" s="40"/>
      <c r="E778" s="40"/>
      <c r="F778" s="40"/>
      <c r="G778" s="40"/>
    </row>
    <row r="779">
      <c r="A779" s="28"/>
      <c r="B779" s="39"/>
      <c r="C779" s="40"/>
      <c r="D779" s="40"/>
      <c r="E779" s="40"/>
      <c r="F779" s="40"/>
      <c r="G779" s="40"/>
    </row>
    <row r="780">
      <c r="A780" s="28"/>
      <c r="B780" s="39"/>
      <c r="C780" s="40"/>
      <c r="D780" s="40"/>
      <c r="E780" s="40"/>
      <c r="F780" s="40"/>
      <c r="G780" s="40"/>
    </row>
    <row r="781">
      <c r="A781" s="28"/>
      <c r="B781" s="39"/>
      <c r="C781" s="40"/>
      <c r="D781" s="40"/>
      <c r="E781" s="40"/>
      <c r="F781" s="40"/>
      <c r="G781" s="40"/>
    </row>
    <row r="782">
      <c r="A782" s="28"/>
      <c r="B782" s="39"/>
      <c r="C782" s="40"/>
      <c r="D782" s="40"/>
      <c r="E782" s="40"/>
      <c r="F782" s="40"/>
      <c r="G782" s="40"/>
    </row>
    <row r="783">
      <c r="A783" s="28"/>
      <c r="B783" s="39"/>
      <c r="C783" s="40"/>
      <c r="D783" s="40"/>
      <c r="E783" s="40"/>
      <c r="F783" s="40"/>
      <c r="G783" s="40"/>
    </row>
    <row r="784">
      <c r="A784" s="28"/>
      <c r="B784" s="39"/>
      <c r="C784" s="40"/>
      <c r="D784" s="40"/>
      <c r="E784" s="40"/>
      <c r="F784" s="40"/>
      <c r="G784" s="40"/>
    </row>
    <row r="785">
      <c r="A785" s="28"/>
      <c r="B785" s="39"/>
      <c r="C785" s="40"/>
      <c r="D785" s="40"/>
      <c r="E785" s="40"/>
      <c r="F785" s="40"/>
      <c r="G785" s="40"/>
    </row>
    <row r="786">
      <c r="A786" s="28"/>
      <c r="B786" s="39"/>
      <c r="C786" s="40"/>
      <c r="D786" s="40"/>
      <c r="E786" s="40"/>
      <c r="F786" s="40"/>
      <c r="G786" s="40"/>
    </row>
    <row r="787">
      <c r="A787" s="28"/>
      <c r="B787" s="39"/>
      <c r="C787" s="40"/>
      <c r="D787" s="40"/>
      <c r="E787" s="40"/>
      <c r="F787" s="40"/>
      <c r="G787" s="40"/>
    </row>
    <row r="788">
      <c r="A788" s="28"/>
      <c r="B788" s="39"/>
      <c r="C788" s="40"/>
      <c r="D788" s="40"/>
      <c r="E788" s="40"/>
      <c r="F788" s="40"/>
      <c r="G788" s="40"/>
    </row>
    <row r="789">
      <c r="A789" s="28"/>
      <c r="B789" s="39"/>
      <c r="C789" s="40"/>
      <c r="D789" s="40"/>
      <c r="E789" s="40"/>
      <c r="F789" s="40"/>
      <c r="G789" s="40"/>
    </row>
    <row r="790">
      <c r="A790" s="28"/>
      <c r="B790" s="39"/>
      <c r="C790" s="40"/>
      <c r="D790" s="40"/>
      <c r="E790" s="40"/>
      <c r="F790" s="40"/>
      <c r="G790" s="40"/>
    </row>
    <row r="791">
      <c r="A791" s="28"/>
      <c r="B791" s="39"/>
      <c r="C791" s="40"/>
      <c r="D791" s="40"/>
      <c r="E791" s="40"/>
      <c r="F791" s="40"/>
      <c r="G791" s="40"/>
    </row>
    <row r="792">
      <c r="A792" s="28"/>
      <c r="B792" s="39"/>
      <c r="C792" s="40"/>
      <c r="D792" s="40"/>
      <c r="E792" s="40"/>
      <c r="F792" s="40"/>
      <c r="G792" s="40"/>
    </row>
    <row r="793">
      <c r="A793" s="28"/>
      <c r="B793" s="39"/>
      <c r="C793" s="40"/>
      <c r="D793" s="40"/>
      <c r="E793" s="40"/>
      <c r="F793" s="40"/>
      <c r="G793" s="40"/>
    </row>
    <row r="794">
      <c r="A794" s="28"/>
      <c r="B794" s="39"/>
      <c r="C794" s="40"/>
      <c r="D794" s="40"/>
      <c r="E794" s="40"/>
      <c r="F794" s="40"/>
      <c r="G794" s="40"/>
    </row>
    <row r="795">
      <c r="A795" s="28"/>
      <c r="B795" s="39"/>
      <c r="C795" s="40"/>
      <c r="D795" s="40"/>
      <c r="E795" s="40"/>
      <c r="F795" s="40"/>
      <c r="G795" s="40"/>
    </row>
    <row r="796">
      <c r="A796" s="28"/>
      <c r="B796" s="39"/>
      <c r="C796" s="40"/>
      <c r="D796" s="40"/>
      <c r="E796" s="40"/>
      <c r="F796" s="40"/>
      <c r="G796" s="40"/>
    </row>
    <row r="797">
      <c r="A797" s="28"/>
      <c r="B797" s="39"/>
      <c r="C797" s="40"/>
      <c r="D797" s="40"/>
      <c r="E797" s="40"/>
      <c r="F797" s="40"/>
      <c r="G797" s="40"/>
    </row>
    <row r="798">
      <c r="A798" s="28"/>
      <c r="B798" s="39"/>
      <c r="C798" s="40"/>
      <c r="D798" s="40"/>
      <c r="E798" s="40"/>
      <c r="F798" s="40"/>
      <c r="G798" s="40"/>
    </row>
    <row r="799">
      <c r="A799" s="28"/>
      <c r="B799" s="39"/>
      <c r="C799" s="40"/>
      <c r="D799" s="40"/>
      <c r="E799" s="40"/>
      <c r="F799" s="40"/>
      <c r="G799" s="40"/>
    </row>
    <row r="800">
      <c r="A800" s="28"/>
      <c r="B800" s="39"/>
      <c r="C800" s="40"/>
      <c r="D800" s="40"/>
      <c r="E800" s="40"/>
      <c r="F800" s="40"/>
      <c r="G800" s="40"/>
    </row>
    <row r="801">
      <c r="A801" s="28"/>
      <c r="B801" s="39"/>
      <c r="C801" s="40"/>
      <c r="D801" s="40"/>
      <c r="E801" s="40"/>
      <c r="F801" s="40"/>
      <c r="G801" s="40"/>
    </row>
    <row r="802">
      <c r="A802" s="28"/>
      <c r="B802" s="39"/>
      <c r="C802" s="40"/>
      <c r="D802" s="40"/>
      <c r="E802" s="40"/>
      <c r="F802" s="40"/>
      <c r="G802" s="40"/>
    </row>
    <row r="803">
      <c r="A803" s="28"/>
      <c r="B803" s="39"/>
      <c r="C803" s="40"/>
      <c r="D803" s="40"/>
      <c r="E803" s="40"/>
      <c r="F803" s="40"/>
      <c r="G803" s="40"/>
    </row>
    <row r="804">
      <c r="A804" s="28"/>
      <c r="B804" s="39"/>
      <c r="C804" s="40"/>
      <c r="D804" s="40"/>
      <c r="E804" s="40"/>
      <c r="F804" s="40"/>
      <c r="G804" s="40"/>
    </row>
    <row r="805">
      <c r="A805" s="28"/>
      <c r="B805" s="39"/>
      <c r="C805" s="40"/>
      <c r="D805" s="40"/>
      <c r="E805" s="40"/>
      <c r="F805" s="40"/>
      <c r="G805" s="40"/>
    </row>
    <row r="806">
      <c r="A806" s="28"/>
      <c r="B806" s="39"/>
      <c r="C806" s="40"/>
      <c r="D806" s="40"/>
      <c r="E806" s="40"/>
      <c r="F806" s="40"/>
      <c r="G806" s="40"/>
    </row>
    <row r="807">
      <c r="A807" s="28"/>
      <c r="B807" s="39"/>
      <c r="C807" s="40"/>
      <c r="D807" s="40"/>
      <c r="E807" s="40"/>
      <c r="F807" s="40"/>
      <c r="G807" s="40"/>
    </row>
    <row r="808">
      <c r="A808" s="28"/>
      <c r="B808" s="39"/>
      <c r="C808" s="40"/>
      <c r="D808" s="40"/>
      <c r="E808" s="40"/>
      <c r="F808" s="40"/>
      <c r="G808" s="40"/>
    </row>
    <row r="809">
      <c r="A809" s="28"/>
      <c r="B809" s="39"/>
      <c r="C809" s="40"/>
      <c r="D809" s="40"/>
      <c r="E809" s="40"/>
      <c r="F809" s="40"/>
      <c r="G809" s="40"/>
    </row>
    <row r="810">
      <c r="A810" s="28"/>
      <c r="B810" s="39"/>
      <c r="C810" s="40"/>
      <c r="D810" s="40"/>
      <c r="E810" s="40"/>
      <c r="F810" s="40"/>
      <c r="G810" s="40"/>
    </row>
    <row r="811">
      <c r="A811" s="28"/>
      <c r="B811" s="39"/>
      <c r="C811" s="40"/>
      <c r="D811" s="40"/>
      <c r="E811" s="40"/>
      <c r="F811" s="40"/>
      <c r="G811" s="40"/>
    </row>
    <row r="812">
      <c r="A812" s="28"/>
      <c r="B812" s="39"/>
      <c r="C812" s="40"/>
      <c r="D812" s="40"/>
      <c r="E812" s="40"/>
      <c r="F812" s="40"/>
      <c r="G812" s="40"/>
    </row>
    <row r="813">
      <c r="A813" s="28"/>
      <c r="B813" s="39"/>
      <c r="C813" s="40"/>
      <c r="D813" s="40"/>
      <c r="E813" s="40"/>
      <c r="F813" s="40"/>
      <c r="G813" s="40"/>
    </row>
    <row r="814">
      <c r="A814" s="28"/>
      <c r="B814" s="39"/>
      <c r="C814" s="40"/>
      <c r="D814" s="40"/>
      <c r="E814" s="40"/>
      <c r="F814" s="40"/>
      <c r="G814" s="40"/>
    </row>
    <row r="815">
      <c r="A815" s="28"/>
      <c r="B815" s="39"/>
      <c r="C815" s="40"/>
      <c r="D815" s="40"/>
      <c r="E815" s="40"/>
      <c r="F815" s="40"/>
      <c r="G815" s="40"/>
    </row>
    <row r="816">
      <c r="A816" s="28"/>
      <c r="B816" s="39"/>
      <c r="C816" s="40"/>
      <c r="D816" s="40"/>
      <c r="E816" s="40"/>
      <c r="F816" s="40"/>
      <c r="G816" s="40"/>
    </row>
    <row r="817">
      <c r="A817" s="28"/>
      <c r="B817" s="39"/>
      <c r="C817" s="40"/>
      <c r="D817" s="40"/>
      <c r="E817" s="40"/>
      <c r="F817" s="40"/>
      <c r="G817" s="40"/>
    </row>
    <row r="818">
      <c r="A818" s="28"/>
      <c r="B818" s="39"/>
      <c r="C818" s="40"/>
      <c r="D818" s="40"/>
      <c r="E818" s="40"/>
      <c r="F818" s="40"/>
      <c r="G818" s="40"/>
    </row>
    <row r="819">
      <c r="A819" s="28"/>
      <c r="B819" s="39"/>
      <c r="C819" s="40"/>
      <c r="D819" s="40"/>
      <c r="E819" s="40"/>
      <c r="F819" s="40"/>
      <c r="G819" s="40"/>
    </row>
    <row r="820">
      <c r="A820" s="28"/>
      <c r="B820" s="39"/>
      <c r="C820" s="40"/>
      <c r="D820" s="40"/>
      <c r="E820" s="40"/>
      <c r="F820" s="40"/>
      <c r="G820" s="40"/>
    </row>
    <row r="821">
      <c r="A821" s="28"/>
      <c r="B821" s="39"/>
      <c r="C821" s="40"/>
      <c r="D821" s="40"/>
      <c r="E821" s="40"/>
      <c r="F821" s="40"/>
      <c r="G821" s="40"/>
    </row>
    <row r="822">
      <c r="A822" s="28"/>
      <c r="B822" s="39"/>
      <c r="C822" s="40"/>
      <c r="D822" s="40"/>
      <c r="E822" s="40"/>
      <c r="F822" s="40"/>
      <c r="G822" s="40"/>
    </row>
    <row r="823">
      <c r="A823" s="28"/>
      <c r="B823" s="39"/>
      <c r="C823" s="40"/>
      <c r="D823" s="40"/>
      <c r="E823" s="40"/>
      <c r="F823" s="40"/>
      <c r="G823" s="40"/>
    </row>
    <row r="824">
      <c r="A824" s="28"/>
      <c r="B824" s="39"/>
      <c r="C824" s="40"/>
      <c r="D824" s="40"/>
      <c r="E824" s="40"/>
      <c r="F824" s="40"/>
      <c r="G824" s="40"/>
    </row>
    <row r="825">
      <c r="A825" s="28"/>
      <c r="B825" s="39"/>
      <c r="C825" s="40"/>
      <c r="D825" s="40"/>
      <c r="E825" s="40"/>
      <c r="F825" s="40"/>
      <c r="G825" s="40"/>
    </row>
    <row r="826">
      <c r="A826" s="28"/>
      <c r="B826" s="39"/>
      <c r="C826" s="40"/>
      <c r="D826" s="40"/>
      <c r="E826" s="40"/>
      <c r="F826" s="40"/>
      <c r="G826" s="40"/>
    </row>
    <row r="827">
      <c r="A827" s="28"/>
      <c r="B827" s="39"/>
      <c r="C827" s="40"/>
      <c r="D827" s="40"/>
      <c r="E827" s="40"/>
      <c r="F827" s="40"/>
      <c r="G827" s="40"/>
    </row>
    <row r="828">
      <c r="A828" s="28"/>
      <c r="B828" s="39"/>
      <c r="C828" s="40"/>
      <c r="D828" s="40"/>
      <c r="E828" s="40"/>
      <c r="F828" s="40"/>
      <c r="G828" s="40"/>
    </row>
    <row r="829">
      <c r="A829" s="28"/>
      <c r="B829" s="39"/>
      <c r="C829" s="40"/>
      <c r="D829" s="40"/>
      <c r="E829" s="40"/>
      <c r="F829" s="40"/>
      <c r="G829" s="40"/>
    </row>
    <row r="830">
      <c r="A830" s="28"/>
      <c r="B830" s="39"/>
      <c r="C830" s="40"/>
      <c r="D830" s="40"/>
      <c r="E830" s="40"/>
      <c r="F830" s="40"/>
      <c r="G830" s="40"/>
    </row>
    <row r="831">
      <c r="A831" s="28"/>
      <c r="B831" s="39"/>
      <c r="C831" s="40"/>
      <c r="D831" s="40"/>
      <c r="E831" s="40"/>
      <c r="F831" s="40"/>
      <c r="G831" s="40"/>
    </row>
    <row r="832">
      <c r="A832" s="28"/>
      <c r="B832" s="39"/>
      <c r="C832" s="40"/>
      <c r="D832" s="40"/>
      <c r="E832" s="40"/>
      <c r="F832" s="40"/>
      <c r="G832" s="40"/>
    </row>
    <row r="833">
      <c r="A833" s="28"/>
      <c r="B833" s="39"/>
      <c r="C833" s="40"/>
      <c r="D833" s="40"/>
      <c r="E833" s="40"/>
      <c r="F833" s="40"/>
      <c r="G833" s="40"/>
    </row>
    <row r="834">
      <c r="A834" s="28"/>
      <c r="B834" s="39"/>
      <c r="C834" s="40"/>
      <c r="D834" s="40"/>
      <c r="E834" s="40"/>
      <c r="F834" s="40"/>
      <c r="G834" s="40"/>
    </row>
    <row r="835">
      <c r="A835" s="28"/>
      <c r="B835" s="39"/>
      <c r="C835" s="40"/>
      <c r="D835" s="40"/>
      <c r="E835" s="40"/>
      <c r="F835" s="40"/>
      <c r="G835" s="40"/>
    </row>
    <row r="836">
      <c r="A836" s="28"/>
      <c r="B836" s="39"/>
      <c r="C836" s="40"/>
      <c r="D836" s="40"/>
      <c r="E836" s="40"/>
      <c r="F836" s="40"/>
      <c r="G836" s="40"/>
    </row>
    <row r="837">
      <c r="A837" s="28"/>
      <c r="B837" s="39"/>
      <c r="C837" s="40"/>
      <c r="D837" s="40"/>
      <c r="E837" s="40"/>
      <c r="F837" s="40"/>
      <c r="G837" s="40"/>
    </row>
    <row r="838">
      <c r="A838" s="28"/>
      <c r="B838" s="39"/>
      <c r="C838" s="40"/>
      <c r="D838" s="40"/>
      <c r="E838" s="40"/>
      <c r="F838" s="40"/>
      <c r="G838" s="40"/>
    </row>
    <row r="839">
      <c r="A839" s="28"/>
      <c r="B839" s="39"/>
      <c r="C839" s="40"/>
      <c r="D839" s="40"/>
      <c r="E839" s="40"/>
      <c r="F839" s="40"/>
      <c r="G839" s="40"/>
    </row>
    <row r="840">
      <c r="A840" s="28"/>
      <c r="B840" s="39"/>
      <c r="C840" s="40"/>
      <c r="D840" s="40"/>
      <c r="E840" s="40"/>
      <c r="F840" s="40"/>
      <c r="G840" s="40"/>
    </row>
    <row r="841">
      <c r="A841" s="28"/>
      <c r="B841" s="39"/>
      <c r="C841" s="40"/>
      <c r="D841" s="40"/>
      <c r="E841" s="40"/>
      <c r="F841" s="40"/>
      <c r="G841" s="40"/>
    </row>
    <row r="842">
      <c r="A842" s="28"/>
      <c r="B842" s="39"/>
      <c r="C842" s="40"/>
      <c r="D842" s="40"/>
      <c r="E842" s="40"/>
      <c r="F842" s="40"/>
      <c r="G842" s="40"/>
    </row>
    <row r="843">
      <c r="A843" s="28"/>
      <c r="B843" s="39"/>
      <c r="C843" s="40"/>
      <c r="D843" s="40"/>
      <c r="E843" s="40"/>
      <c r="F843" s="40"/>
      <c r="G843" s="40"/>
    </row>
    <row r="844">
      <c r="A844" s="28"/>
      <c r="B844" s="39"/>
      <c r="C844" s="40"/>
      <c r="D844" s="40"/>
      <c r="E844" s="40"/>
      <c r="F844" s="40"/>
      <c r="G844" s="40"/>
    </row>
    <row r="845">
      <c r="A845" s="28"/>
      <c r="B845" s="39"/>
      <c r="C845" s="40"/>
      <c r="D845" s="40"/>
      <c r="E845" s="40"/>
      <c r="F845" s="40"/>
      <c r="G845" s="40"/>
    </row>
    <row r="846">
      <c r="A846" s="28"/>
      <c r="B846" s="39"/>
      <c r="C846" s="40"/>
      <c r="D846" s="40"/>
      <c r="E846" s="40"/>
      <c r="F846" s="40"/>
      <c r="G846" s="40"/>
    </row>
    <row r="847">
      <c r="A847" s="28"/>
      <c r="B847" s="39"/>
      <c r="C847" s="40"/>
      <c r="D847" s="40"/>
      <c r="E847" s="40"/>
      <c r="F847" s="40"/>
      <c r="G847" s="40"/>
    </row>
    <row r="848">
      <c r="A848" s="28"/>
      <c r="B848" s="39"/>
      <c r="C848" s="40"/>
      <c r="D848" s="40"/>
      <c r="E848" s="40"/>
      <c r="F848" s="40"/>
      <c r="G848" s="40"/>
    </row>
    <row r="849">
      <c r="A849" s="28"/>
      <c r="B849" s="39"/>
      <c r="C849" s="40"/>
      <c r="D849" s="40"/>
      <c r="E849" s="40"/>
      <c r="F849" s="40"/>
      <c r="G849" s="40"/>
    </row>
    <row r="850">
      <c r="A850" s="28"/>
      <c r="B850" s="39"/>
      <c r="C850" s="40"/>
      <c r="D850" s="40"/>
      <c r="E850" s="40"/>
      <c r="F850" s="40"/>
      <c r="G850" s="40"/>
    </row>
    <row r="851">
      <c r="A851" s="28"/>
      <c r="B851" s="39"/>
      <c r="C851" s="40"/>
      <c r="D851" s="40"/>
      <c r="E851" s="40"/>
      <c r="F851" s="40"/>
      <c r="G851" s="40"/>
    </row>
    <row r="852">
      <c r="A852" s="28"/>
      <c r="B852" s="39"/>
      <c r="C852" s="40"/>
      <c r="D852" s="40"/>
      <c r="E852" s="40"/>
      <c r="F852" s="40"/>
      <c r="G852" s="40"/>
    </row>
    <row r="853">
      <c r="A853" s="28"/>
      <c r="B853" s="39"/>
      <c r="C853" s="40"/>
      <c r="D853" s="40"/>
      <c r="E853" s="40"/>
      <c r="F853" s="40"/>
      <c r="G853" s="40"/>
    </row>
    <row r="854">
      <c r="A854" s="28"/>
      <c r="B854" s="39"/>
      <c r="C854" s="40"/>
      <c r="D854" s="40"/>
      <c r="E854" s="40"/>
      <c r="F854" s="40"/>
      <c r="G854" s="40"/>
    </row>
    <row r="855">
      <c r="A855" s="28"/>
      <c r="B855" s="39"/>
      <c r="C855" s="40"/>
      <c r="D855" s="40"/>
      <c r="E855" s="40"/>
      <c r="F855" s="40"/>
      <c r="G855" s="40"/>
    </row>
    <row r="856">
      <c r="A856" s="28"/>
      <c r="B856" s="39"/>
      <c r="C856" s="40"/>
      <c r="D856" s="40"/>
      <c r="E856" s="40"/>
      <c r="F856" s="40"/>
      <c r="G856" s="40"/>
    </row>
    <row r="857">
      <c r="A857" s="28"/>
      <c r="B857" s="39"/>
      <c r="C857" s="40"/>
      <c r="D857" s="40"/>
      <c r="E857" s="40"/>
      <c r="F857" s="40"/>
      <c r="G857" s="40"/>
    </row>
    <row r="858">
      <c r="A858" s="28"/>
      <c r="B858" s="39"/>
      <c r="C858" s="40"/>
      <c r="D858" s="40"/>
      <c r="E858" s="40"/>
      <c r="F858" s="40"/>
      <c r="G858" s="40"/>
    </row>
    <row r="859">
      <c r="A859" s="28"/>
      <c r="B859" s="39"/>
      <c r="C859" s="40"/>
      <c r="D859" s="40"/>
      <c r="E859" s="40"/>
      <c r="F859" s="40"/>
      <c r="G859" s="40"/>
    </row>
    <row r="860">
      <c r="A860" s="28"/>
      <c r="B860" s="39"/>
      <c r="C860" s="40"/>
      <c r="D860" s="40"/>
      <c r="E860" s="40"/>
      <c r="F860" s="40"/>
      <c r="G860" s="40"/>
    </row>
    <row r="861">
      <c r="A861" s="28"/>
      <c r="B861" s="39"/>
      <c r="C861" s="40"/>
      <c r="D861" s="40"/>
      <c r="E861" s="40"/>
      <c r="F861" s="40"/>
      <c r="G861" s="40"/>
    </row>
    <row r="862">
      <c r="A862" s="28"/>
      <c r="B862" s="39"/>
      <c r="C862" s="40"/>
      <c r="D862" s="40"/>
      <c r="E862" s="40"/>
      <c r="F862" s="40"/>
      <c r="G862" s="40"/>
    </row>
    <row r="863">
      <c r="A863" s="28"/>
      <c r="B863" s="39"/>
      <c r="C863" s="40"/>
      <c r="D863" s="40"/>
      <c r="E863" s="40"/>
      <c r="F863" s="40"/>
      <c r="G863" s="40"/>
    </row>
    <row r="864">
      <c r="A864" s="28"/>
      <c r="B864" s="39"/>
      <c r="C864" s="40"/>
      <c r="D864" s="40"/>
      <c r="E864" s="40"/>
      <c r="F864" s="40"/>
      <c r="G864" s="40"/>
    </row>
    <row r="865">
      <c r="A865" s="28"/>
      <c r="B865" s="39"/>
      <c r="C865" s="40"/>
      <c r="D865" s="40"/>
      <c r="E865" s="40"/>
      <c r="F865" s="40"/>
      <c r="G865" s="40"/>
    </row>
    <row r="866">
      <c r="A866" s="28"/>
      <c r="B866" s="39"/>
      <c r="C866" s="40"/>
      <c r="D866" s="40"/>
      <c r="E866" s="40"/>
      <c r="F866" s="40"/>
      <c r="G866" s="40"/>
    </row>
    <row r="867">
      <c r="A867" s="28"/>
      <c r="B867" s="39"/>
      <c r="C867" s="40"/>
      <c r="D867" s="40"/>
      <c r="E867" s="40"/>
      <c r="F867" s="40"/>
      <c r="G867" s="40"/>
    </row>
    <row r="868">
      <c r="A868" s="28"/>
      <c r="B868" s="39"/>
      <c r="C868" s="40"/>
      <c r="D868" s="40"/>
      <c r="E868" s="40"/>
      <c r="F868" s="40"/>
      <c r="G868" s="40"/>
    </row>
    <row r="869">
      <c r="A869" s="28"/>
      <c r="B869" s="39"/>
      <c r="C869" s="40"/>
      <c r="D869" s="40"/>
      <c r="E869" s="40"/>
      <c r="F869" s="40"/>
      <c r="G869" s="40"/>
    </row>
    <row r="870">
      <c r="A870" s="28"/>
      <c r="B870" s="39"/>
      <c r="C870" s="40"/>
      <c r="D870" s="40"/>
      <c r="E870" s="40"/>
      <c r="F870" s="40"/>
      <c r="G870" s="40"/>
    </row>
    <row r="871">
      <c r="A871" s="28"/>
      <c r="B871" s="39"/>
      <c r="C871" s="40"/>
      <c r="D871" s="40"/>
      <c r="E871" s="40"/>
      <c r="F871" s="40"/>
      <c r="G871" s="40"/>
    </row>
    <row r="872">
      <c r="A872" s="28"/>
      <c r="B872" s="39"/>
      <c r="C872" s="40"/>
      <c r="D872" s="40"/>
      <c r="E872" s="40"/>
      <c r="F872" s="40"/>
      <c r="G872" s="40"/>
    </row>
    <row r="873">
      <c r="A873" s="28"/>
      <c r="B873" s="39"/>
      <c r="C873" s="40"/>
      <c r="D873" s="40"/>
      <c r="E873" s="40"/>
      <c r="F873" s="40"/>
      <c r="G873" s="40"/>
    </row>
    <row r="874">
      <c r="A874" s="28"/>
      <c r="B874" s="39"/>
      <c r="C874" s="40"/>
      <c r="D874" s="40"/>
      <c r="E874" s="40"/>
      <c r="F874" s="40"/>
      <c r="G874" s="40"/>
    </row>
    <row r="875">
      <c r="A875" s="28"/>
      <c r="B875" s="39"/>
      <c r="C875" s="40"/>
      <c r="D875" s="40"/>
      <c r="E875" s="40"/>
      <c r="F875" s="40"/>
      <c r="G875" s="40"/>
    </row>
    <row r="876">
      <c r="A876" s="28"/>
      <c r="B876" s="39"/>
      <c r="C876" s="40"/>
      <c r="D876" s="40"/>
      <c r="E876" s="40"/>
      <c r="F876" s="40"/>
      <c r="G876" s="40"/>
    </row>
    <row r="877">
      <c r="A877" s="28"/>
      <c r="B877" s="39"/>
      <c r="C877" s="40"/>
      <c r="D877" s="40"/>
      <c r="E877" s="40"/>
      <c r="F877" s="40"/>
      <c r="G877" s="40"/>
    </row>
    <row r="878">
      <c r="A878" s="28"/>
      <c r="B878" s="39"/>
      <c r="C878" s="40"/>
      <c r="D878" s="40"/>
      <c r="E878" s="40"/>
      <c r="F878" s="40"/>
      <c r="G878" s="40"/>
    </row>
    <row r="879">
      <c r="A879" s="28"/>
      <c r="B879" s="39"/>
      <c r="C879" s="40"/>
      <c r="D879" s="40"/>
      <c r="E879" s="40"/>
      <c r="F879" s="40"/>
      <c r="G879" s="40"/>
    </row>
    <row r="880">
      <c r="A880" s="28"/>
      <c r="B880" s="39"/>
      <c r="C880" s="40"/>
      <c r="D880" s="40"/>
      <c r="E880" s="40"/>
      <c r="F880" s="40"/>
      <c r="G880" s="40"/>
    </row>
    <row r="881">
      <c r="A881" s="28"/>
      <c r="B881" s="39"/>
      <c r="C881" s="40"/>
      <c r="D881" s="40"/>
      <c r="E881" s="40"/>
      <c r="F881" s="40"/>
      <c r="G881" s="40"/>
    </row>
    <row r="882">
      <c r="A882" s="28"/>
      <c r="B882" s="39"/>
      <c r="C882" s="40"/>
      <c r="D882" s="40"/>
      <c r="E882" s="40"/>
      <c r="F882" s="40"/>
      <c r="G882" s="40"/>
    </row>
    <row r="883">
      <c r="A883" s="28"/>
      <c r="B883" s="39"/>
      <c r="C883" s="40"/>
      <c r="D883" s="40"/>
      <c r="E883" s="40"/>
      <c r="F883" s="40"/>
      <c r="G883" s="40"/>
    </row>
    <row r="884">
      <c r="A884" s="28"/>
      <c r="B884" s="39"/>
      <c r="C884" s="40"/>
      <c r="D884" s="40"/>
      <c r="E884" s="40"/>
      <c r="F884" s="40"/>
      <c r="G884" s="40"/>
    </row>
    <row r="885">
      <c r="A885" s="28"/>
      <c r="B885" s="39"/>
      <c r="C885" s="40"/>
      <c r="D885" s="40"/>
      <c r="E885" s="40"/>
      <c r="F885" s="40"/>
      <c r="G885" s="40"/>
    </row>
    <row r="886">
      <c r="A886" s="28"/>
      <c r="B886" s="39"/>
      <c r="C886" s="40"/>
      <c r="D886" s="40"/>
      <c r="E886" s="40"/>
      <c r="F886" s="40"/>
      <c r="G886" s="40"/>
    </row>
    <row r="887">
      <c r="A887" s="28"/>
      <c r="B887" s="39"/>
      <c r="C887" s="40"/>
      <c r="D887" s="40"/>
      <c r="E887" s="40"/>
      <c r="F887" s="40"/>
      <c r="G887" s="40"/>
    </row>
    <row r="888">
      <c r="A888" s="28"/>
      <c r="B888" s="39"/>
      <c r="C888" s="40"/>
      <c r="D888" s="40"/>
      <c r="E888" s="40"/>
      <c r="F888" s="40"/>
      <c r="G888" s="40"/>
    </row>
    <row r="889">
      <c r="A889" s="28"/>
      <c r="B889" s="39"/>
      <c r="C889" s="40"/>
      <c r="D889" s="40"/>
      <c r="E889" s="40"/>
      <c r="F889" s="40"/>
      <c r="G889" s="40"/>
    </row>
    <row r="890">
      <c r="A890" s="28"/>
      <c r="B890" s="39"/>
      <c r="C890" s="40"/>
      <c r="D890" s="40"/>
      <c r="E890" s="40"/>
      <c r="F890" s="40"/>
      <c r="G890" s="40"/>
    </row>
    <row r="891">
      <c r="A891" s="28"/>
      <c r="B891" s="39"/>
      <c r="C891" s="40"/>
      <c r="D891" s="40"/>
      <c r="E891" s="40"/>
      <c r="F891" s="40"/>
      <c r="G891" s="40"/>
    </row>
    <row r="892">
      <c r="A892" s="28"/>
      <c r="B892" s="39"/>
      <c r="C892" s="40"/>
      <c r="D892" s="40"/>
      <c r="E892" s="40"/>
      <c r="F892" s="40"/>
      <c r="G892" s="40"/>
    </row>
    <row r="893">
      <c r="A893" s="28"/>
      <c r="B893" s="39"/>
      <c r="C893" s="40"/>
      <c r="D893" s="40"/>
      <c r="E893" s="40"/>
      <c r="F893" s="40"/>
      <c r="G893" s="40"/>
    </row>
    <row r="894">
      <c r="A894" s="28"/>
      <c r="B894" s="39"/>
      <c r="C894" s="40"/>
      <c r="D894" s="40"/>
      <c r="E894" s="40"/>
      <c r="F894" s="40"/>
      <c r="G894" s="40"/>
    </row>
    <row r="895">
      <c r="A895" s="28"/>
      <c r="B895" s="39"/>
      <c r="C895" s="40"/>
      <c r="D895" s="40"/>
      <c r="E895" s="40"/>
      <c r="F895" s="40"/>
      <c r="G895" s="40"/>
    </row>
    <row r="896">
      <c r="A896" s="28"/>
      <c r="B896" s="39"/>
      <c r="C896" s="40"/>
      <c r="D896" s="40"/>
      <c r="E896" s="40"/>
      <c r="F896" s="40"/>
      <c r="G896" s="40"/>
    </row>
    <row r="897">
      <c r="A897" s="28"/>
      <c r="B897" s="39"/>
      <c r="C897" s="40"/>
      <c r="D897" s="40"/>
      <c r="E897" s="40"/>
      <c r="F897" s="40"/>
      <c r="G897" s="40"/>
    </row>
    <row r="898">
      <c r="A898" s="28"/>
      <c r="B898" s="39"/>
      <c r="C898" s="40"/>
      <c r="D898" s="40"/>
      <c r="E898" s="40"/>
      <c r="F898" s="40"/>
      <c r="G898" s="40"/>
    </row>
    <row r="899">
      <c r="A899" s="28"/>
      <c r="B899" s="39"/>
      <c r="C899" s="40"/>
      <c r="D899" s="40"/>
      <c r="E899" s="40"/>
      <c r="F899" s="40"/>
      <c r="G899" s="40"/>
    </row>
    <row r="900">
      <c r="A900" s="28"/>
      <c r="B900" s="39"/>
      <c r="C900" s="40"/>
      <c r="D900" s="40"/>
      <c r="E900" s="40"/>
      <c r="F900" s="40"/>
      <c r="G900" s="40"/>
    </row>
    <row r="901">
      <c r="A901" s="28"/>
      <c r="B901" s="39"/>
      <c r="C901" s="40"/>
      <c r="D901" s="40"/>
      <c r="E901" s="40"/>
      <c r="F901" s="40"/>
      <c r="G901" s="40"/>
    </row>
    <row r="902">
      <c r="A902" s="28"/>
      <c r="B902" s="39"/>
      <c r="C902" s="40"/>
      <c r="D902" s="40"/>
      <c r="E902" s="40"/>
      <c r="F902" s="40"/>
      <c r="G902" s="40"/>
    </row>
    <row r="903">
      <c r="A903" s="28"/>
      <c r="B903" s="39"/>
      <c r="C903" s="40"/>
      <c r="D903" s="40"/>
      <c r="E903" s="40"/>
      <c r="F903" s="40"/>
      <c r="G903" s="40"/>
    </row>
    <row r="904">
      <c r="A904" s="28"/>
      <c r="B904" s="39"/>
      <c r="C904" s="40"/>
      <c r="D904" s="40"/>
      <c r="E904" s="40"/>
      <c r="F904" s="40"/>
      <c r="G904" s="40"/>
    </row>
    <row r="905">
      <c r="A905" s="28"/>
      <c r="B905" s="39"/>
      <c r="C905" s="40"/>
      <c r="D905" s="40"/>
      <c r="E905" s="40"/>
      <c r="F905" s="40"/>
      <c r="G905" s="40"/>
    </row>
    <row r="906">
      <c r="A906" s="28"/>
      <c r="B906" s="39"/>
      <c r="C906" s="40"/>
      <c r="D906" s="40"/>
      <c r="E906" s="40"/>
      <c r="F906" s="40"/>
      <c r="G906" s="40"/>
    </row>
    <row r="907">
      <c r="A907" s="28"/>
      <c r="B907" s="39"/>
      <c r="C907" s="40"/>
      <c r="D907" s="40"/>
      <c r="E907" s="40"/>
      <c r="F907" s="40"/>
      <c r="G907" s="40"/>
    </row>
    <row r="908">
      <c r="A908" s="28"/>
      <c r="B908" s="39"/>
      <c r="C908" s="40"/>
      <c r="D908" s="40"/>
      <c r="E908" s="40"/>
      <c r="F908" s="40"/>
      <c r="G908" s="40"/>
    </row>
    <row r="909">
      <c r="A909" s="28"/>
      <c r="B909" s="39"/>
      <c r="C909" s="40"/>
      <c r="D909" s="40"/>
      <c r="E909" s="40"/>
      <c r="F909" s="40"/>
      <c r="G909" s="40"/>
    </row>
    <row r="910">
      <c r="A910" s="28"/>
      <c r="B910" s="39"/>
      <c r="C910" s="40"/>
      <c r="D910" s="40"/>
      <c r="E910" s="40"/>
      <c r="F910" s="40"/>
      <c r="G910" s="40"/>
    </row>
    <row r="911">
      <c r="A911" s="28"/>
      <c r="B911" s="39"/>
      <c r="C911" s="40"/>
      <c r="D911" s="40"/>
      <c r="E911" s="40"/>
      <c r="F911" s="40"/>
      <c r="G911" s="40"/>
    </row>
    <row r="912">
      <c r="A912" s="28"/>
      <c r="B912" s="39"/>
      <c r="C912" s="40"/>
      <c r="D912" s="40"/>
      <c r="E912" s="40"/>
      <c r="F912" s="40"/>
      <c r="G912" s="40"/>
    </row>
    <row r="913">
      <c r="A913" s="28"/>
      <c r="B913" s="39"/>
      <c r="C913" s="40"/>
      <c r="D913" s="40"/>
      <c r="E913" s="40"/>
      <c r="F913" s="40"/>
      <c r="G913" s="40"/>
    </row>
    <row r="914">
      <c r="A914" s="28"/>
      <c r="B914" s="39"/>
      <c r="C914" s="40"/>
      <c r="D914" s="40"/>
      <c r="E914" s="40"/>
      <c r="F914" s="40"/>
      <c r="G914" s="40"/>
    </row>
    <row r="915">
      <c r="A915" s="28"/>
      <c r="B915" s="39"/>
      <c r="C915" s="40"/>
      <c r="D915" s="40"/>
      <c r="E915" s="40"/>
      <c r="F915" s="40"/>
      <c r="G915" s="40"/>
    </row>
    <row r="916">
      <c r="A916" s="28"/>
      <c r="B916" s="39"/>
      <c r="C916" s="40"/>
      <c r="D916" s="40"/>
      <c r="E916" s="40"/>
      <c r="F916" s="40"/>
      <c r="G916" s="40"/>
    </row>
    <row r="917">
      <c r="A917" s="28"/>
      <c r="B917" s="39"/>
      <c r="C917" s="40"/>
      <c r="D917" s="40"/>
      <c r="E917" s="40"/>
      <c r="F917" s="40"/>
      <c r="G917" s="40"/>
    </row>
    <row r="918">
      <c r="A918" s="28"/>
      <c r="B918" s="39"/>
      <c r="C918" s="40"/>
      <c r="D918" s="40"/>
      <c r="E918" s="40"/>
      <c r="F918" s="40"/>
      <c r="G918" s="40"/>
    </row>
    <row r="919">
      <c r="A919" s="28"/>
      <c r="B919" s="39"/>
      <c r="C919" s="40"/>
      <c r="D919" s="40"/>
      <c r="E919" s="40"/>
      <c r="F919" s="40"/>
      <c r="G919" s="40"/>
    </row>
    <row r="920">
      <c r="A920" s="28"/>
      <c r="B920" s="39"/>
      <c r="C920" s="40"/>
      <c r="D920" s="40"/>
      <c r="E920" s="40"/>
      <c r="F920" s="40"/>
      <c r="G920" s="40"/>
    </row>
    <row r="921">
      <c r="A921" s="28"/>
      <c r="B921" s="39"/>
      <c r="C921" s="40"/>
      <c r="D921" s="40"/>
      <c r="E921" s="40"/>
      <c r="F921" s="40"/>
      <c r="G921" s="40"/>
    </row>
    <row r="922">
      <c r="A922" s="28"/>
      <c r="B922" s="39"/>
      <c r="C922" s="40"/>
      <c r="D922" s="40"/>
      <c r="E922" s="40"/>
      <c r="F922" s="40"/>
      <c r="G922" s="40"/>
    </row>
    <row r="923">
      <c r="A923" s="28"/>
      <c r="B923" s="39"/>
      <c r="C923" s="40"/>
      <c r="D923" s="40"/>
      <c r="E923" s="40"/>
      <c r="F923" s="40"/>
      <c r="G923" s="40"/>
    </row>
    <row r="924">
      <c r="A924" s="28"/>
      <c r="B924" s="39"/>
      <c r="C924" s="40"/>
      <c r="D924" s="40"/>
      <c r="E924" s="40"/>
      <c r="F924" s="40"/>
      <c r="G924" s="40"/>
    </row>
    <row r="925">
      <c r="A925" s="28"/>
      <c r="B925" s="39"/>
      <c r="C925" s="40"/>
      <c r="D925" s="40"/>
      <c r="E925" s="40"/>
      <c r="F925" s="40"/>
      <c r="G925" s="40"/>
    </row>
    <row r="926">
      <c r="A926" s="28"/>
      <c r="B926" s="39"/>
      <c r="C926" s="40"/>
      <c r="D926" s="40"/>
      <c r="E926" s="40"/>
      <c r="F926" s="40"/>
      <c r="G926" s="40"/>
    </row>
    <row r="927">
      <c r="A927" s="28"/>
      <c r="B927" s="39"/>
      <c r="C927" s="40"/>
      <c r="D927" s="40"/>
      <c r="E927" s="40"/>
      <c r="F927" s="40"/>
      <c r="G927" s="40"/>
    </row>
    <row r="928">
      <c r="A928" s="28"/>
      <c r="B928" s="39"/>
      <c r="C928" s="40"/>
      <c r="D928" s="40"/>
      <c r="E928" s="40"/>
      <c r="F928" s="40"/>
      <c r="G928" s="40"/>
    </row>
    <row r="929">
      <c r="A929" s="28"/>
      <c r="B929" s="39"/>
      <c r="C929" s="40"/>
      <c r="D929" s="40"/>
      <c r="E929" s="40"/>
      <c r="F929" s="40"/>
      <c r="G929" s="40"/>
    </row>
    <row r="930">
      <c r="A930" s="28"/>
      <c r="B930" s="39"/>
      <c r="C930" s="40"/>
      <c r="D930" s="40"/>
      <c r="E930" s="40"/>
      <c r="F930" s="40"/>
      <c r="G930" s="40"/>
    </row>
    <row r="931">
      <c r="A931" s="28"/>
      <c r="B931" s="39"/>
      <c r="C931" s="40"/>
      <c r="D931" s="40"/>
      <c r="E931" s="40"/>
      <c r="F931" s="40"/>
      <c r="G931" s="40"/>
    </row>
    <row r="932">
      <c r="A932" s="28"/>
      <c r="B932" s="39"/>
      <c r="C932" s="40"/>
      <c r="D932" s="40"/>
      <c r="E932" s="40"/>
      <c r="F932" s="40"/>
      <c r="G932" s="40"/>
    </row>
    <row r="933">
      <c r="A933" s="28"/>
      <c r="B933" s="39"/>
      <c r="C933" s="40"/>
      <c r="D933" s="40"/>
      <c r="E933" s="40"/>
      <c r="F933" s="40"/>
      <c r="G933" s="40"/>
    </row>
    <row r="934">
      <c r="A934" s="28"/>
      <c r="B934" s="39"/>
      <c r="C934" s="40"/>
      <c r="D934" s="40"/>
      <c r="E934" s="40"/>
      <c r="F934" s="40"/>
      <c r="G934" s="40"/>
    </row>
    <row r="935">
      <c r="A935" s="28"/>
      <c r="B935" s="39"/>
      <c r="C935" s="40"/>
      <c r="D935" s="40"/>
      <c r="E935" s="40"/>
      <c r="F935" s="40"/>
      <c r="G935" s="40"/>
    </row>
    <row r="936">
      <c r="A936" s="28"/>
      <c r="B936" s="39"/>
      <c r="C936" s="40"/>
      <c r="D936" s="40"/>
      <c r="E936" s="40"/>
      <c r="F936" s="40"/>
      <c r="G936" s="40"/>
    </row>
    <row r="937">
      <c r="A937" s="28"/>
      <c r="B937" s="39"/>
      <c r="C937" s="40"/>
      <c r="D937" s="40"/>
      <c r="E937" s="40"/>
      <c r="F937" s="40"/>
      <c r="G937" s="40"/>
    </row>
    <row r="938">
      <c r="A938" s="28"/>
      <c r="B938" s="39"/>
      <c r="C938" s="40"/>
      <c r="D938" s="40"/>
      <c r="E938" s="40"/>
      <c r="F938" s="40"/>
      <c r="G938" s="40"/>
    </row>
    <row r="939">
      <c r="A939" s="28"/>
      <c r="B939" s="39"/>
      <c r="C939" s="40"/>
      <c r="D939" s="40"/>
      <c r="E939" s="40"/>
      <c r="F939" s="40"/>
      <c r="G939" s="40"/>
    </row>
    <row r="940">
      <c r="A940" s="28"/>
      <c r="B940" s="39"/>
      <c r="C940" s="40"/>
      <c r="D940" s="40"/>
      <c r="E940" s="40"/>
      <c r="F940" s="40"/>
      <c r="G940" s="40"/>
    </row>
    <row r="941">
      <c r="A941" s="28"/>
      <c r="B941" s="39"/>
      <c r="C941" s="40"/>
      <c r="D941" s="40"/>
      <c r="E941" s="40"/>
      <c r="F941" s="40"/>
      <c r="G941" s="40"/>
    </row>
    <row r="942">
      <c r="A942" s="28"/>
      <c r="B942" s="39"/>
      <c r="C942" s="40"/>
      <c r="D942" s="40"/>
      <c r="E942" s="40"/>
      <c r="F942" s="40"/>
      <c r="G942" s="40"/>
    </row>
    <row r="943">
      <c r="A943" s="28"/>
      <c r="B943" s="39"/>
      <c r="C943" s="40"/>
      <c r="D943" s="40"/>
      <c r="E943" s="40"/>
      <c r="F943" s="40"/>
      <c r="G943" s="40"/>
    </row>
    <row r="944">
      <c r="A944" s="28"/>
      <c r="B944" s="39"/>
      <c r="C944" s="40"/>
      <c r="D944" s="40"/>
      <c r="E944" s="40"/>
      <c r="F944" s="40"/>
      <c r="G944" s="40"/>
    </row>
    <row r="945">
      <c r="A945" s="28"/>
      <c r="B945" s="39"/>
      <c r="C945" s="40"/>
      <c r="D945" s="40"/>
      <c r="E945" s="40"/>
      <c r="F945" s="40"/>
      <c r="G945" s="40"/>
    </row>
    <row r="946">
      <c r="A946" s="28"/>
      <c r="B946" s="39"/>
      <c r="C946" s="40"/>
      <c r="D946" s="40"/>
      <c r="E946" s="40"/>
      <c r="F946" s="40"/>
      <c r="G946" s="40"/>
    </row>
    <row r="947">
      <c r="A947" s="28"/>
      <c r="B947" s="39"/>
      <c r="C947" s="40"/>
      <c r="D947" s="40"/>
      <c r="E947" s="40"/>
      <c r="F947" s="40"/>
      <c r="G947" s="40"/>
    </row>
    <row r="948">
      <c r="A948" s="28"/>
      <c r="B948" s="39"/>
      <c r="C948" s="40"/>
      <c r="D948" s="40"/>
      <c r="E948" s="40"/>
      <c r="F948" s="40"/>
      <c r="G948" s="40"/>
    </row>
    <row r="949">
      <c r="A949" s="28"/>
      <c r="B949" s="39"/>
      <c r="C949" s="40"/>
      <c r="D949" s="40"/>
      <c r="E949" s="40"/>
      <c r="F949" s="40"/>
      <c r="G949" s="40"/>
    </row>
    <row r="950">
      <c r="A950" s="28"/>
      <c r="B950" s="39"/>
      <c r="C950" s="40"/>
      <c r="D950" s="40"/>
      <c r="E950" s="40"/>
      <c r="F950" s="40"/>
      <c r="G950" s="40"/>
    </row>
    <row r="951">
      <c r="A951" s="28"/>
      <c r="B951" s="39"/>
      <c r="C951" s="40"/>
      <c r="D951" s="40"/>
      <c r="E951" s="40"/>
      <c r="F951" s="40"/>
      <c r="G951" s="40"/>
    </row>
    <row r="952">
      <c r="A952" s="28"/>
      <c r="B952" s="39"/>
      <c r="C952" s="40"/>
      <c r="D952" s="40"/>
      <c r="E952" s="40"/>
      <c r="F952" s="40"/>
      <c r="G952" s="40"/>
    </row>
    <row r="953">
      <c r="A953" s="28"/>
      <c r="B953" s="39"/>
      <c r="C953" s="40"/>
      <c r="D953" s="40"/>
      <c r="E953" s="40"/>
      <c r="F953" s="40"/>
      <c r="G953" s="40"/>
    </row>
    <row r="954">
      <c r="A954" s="28"/>
      <c r="B954" s="39"/>
      <c r="C954" s="40"/>
      <c r="D954" s="40"/>
      <c r="E954" s="40"/>
      <c r="F954" s="40"/>
      <c r="G954" s="40"/>
    </row>
    <row r="955">
      <c r="A955" s="28"/>
      <c r="B955" s="39"/>
      <c r="C955" s="40"/>
      <c r="D955" s="40"/>
      <c r="E955" s="40"/>
      <c r="F955" s="40"/>
      <c r="G955" s="40"/>
    </row>
    <row r="956">
      <c r="A956" s="28"/>
      <c r="B956" s="39"/>
      <c r="C956" s="40"/>
      <c r="D956" s="40"/>
      <c r="E956" s="40"/>
      <c r="F956" s="40"/>
      <c r="G956" s="40"/>
    </row>
    <row r="957">
      <c r="A957" s="28"/>
      <c r="B957" s="39"/>
      <c r="C957" s="40"/>
      <c r="D957" s="40"/>
      <c r="E957" s="40"/>
      <c r="F957" s="40"/>
      <c r="G957" s="40"/>
    </row>
    <row r="958">
      <c r="A958" s="28"/>
      <c r="B958" s="39"/>
      <c r="C958" s="40"/>
      <c r="D958" s="40"/>
      <c r="E958" s="40"/>
      <c r="F958" s="40"/>
      <c r="G958" s="40"/>
    </row>
    <row r="959">
      <c r="A959" s="28"/>
      <c r="B959" s="39"/>
      <c r="C959" s="40"/>
      <c r="D959" s="40"/>
      <c r="E959" s="40"/>
      <c r="F959" s="40"/>
      <c r="G959" s="40"/>
    </row>
    <row r="960">
      <c r="A960" s="28"/>
      <c r="B960" s="39"/>
      <c r="C960" s="40"/>
      <c r="D960" s="40"/>
      <c r="E960" s="40"/>
      <c r="F960" s="40"/>
      <c r="G960" s="40"/>
    </row>
    <row r="961">
      <c r="A961" s="28"/>
      <c r="B961" s="39"/>
      <c r="C961" s="40"/>
      <c r="D961" s="40"/>
      <c r="E961" s="40"/>
      <c r="F961" s="40"/>
      <c r="G961" s="40"/>
    </row>
    <row r="962">
      <c r="A962" s="28"/>
      <c r="B962" s="39"/>
      <c r="C962" s="40"/>
      <c r="D962" s="40"/>
      <c r="E962" s="40"/>
      <c r="F962" s="40"/>
      <c r="G962" s="40"/>
    </row>
    <row r="963">
      <c r="A963" s="28"/>
      <c r="B963" s="39"/>
      <c r="C963" s="40"/>
      <c r="D963" s="40"/>
      <c r="E963" s="40"/>
      <c r="F963" s="40"/>
      <c r="G963" s="40"/>
    </row>
    <row r="964">
      <c r="A964" s="28"/>
      <c r="B964" s="39"/>
      <c r="C964" s="40"/>
      <c r="D964" s="40"/>
      <c r="E964" s="40"/>
      <c r="F964" s="40"/>
      <c r="G964" s="40"/>
    </row>
    <row r="965">
      <c r="A965" s="28"/>
      <c r="B965" s="39"/>
      <c r="C965" s="40"/>
      <c r="D965" s="40"/>
      <c r="E965" s="40"/>
      <c r="F965" s="40"/>
      <c r="G965" s="40"/>
    </row>
    <row r="966">
      <c r="A966" s="28"/>
      <c r="B966" s="39"/>
      <c r="C966" s="40"/>
      <c r="D966" s="40"/>
      <c r="E966" s="40"/>
      <c r="F966" s="40"/>
      <c r="G966" s="40"/>
    </row>
    <row r="967">
      <c r="A967" s="28"/>
      <c r="B967" s="39"/>
      <c r="C967" s="40"/>
      <c r="D967" s="40"/>
      <c r="E967" s="40"/>
      <c r="F967" s="40"/>
      <c r="G967" s="40"/>
    </row>
    <row r="968">
      <c r="A968" s="28"/>
      <c r="B968" s="39"/>
      <c r="C968" s="40"/>
      <c r="D968" s="40"/>
      <c r="E968" s="40"/>
      <c r="F968" s="40"/>
      <c r="G968" s="40"/>
    </row>
    <row r="969">
      <c r="A969" s="28"/>
      <c r="B969" s="39"/>
      <c r="C969" s="40"/>
      <c r="D969" s="40"/>
      <c r="E969" s="40"/>
      <c r="F969" s="40"/>
      <c r="G969" s="40"/>
    </row>
    <row r="970">
      <c r="A970" s="28"/>
      <c r="B970" s="39"/>
      <c r="C970" s="40"/>
      <c r="D970" s="40"/>
      <c r="E970" s="40"/>
      <c r="F970" s="40"/>
      <c r="G970" s="40"/>
    </row>
    <row r="971">
      <c r="A971" s="28"/>
      <c r="B971" s="39"/>
      <c r="C971" s="40"/>
      <c r="D971" s="40"/>
      <c r="E971" s="40"/>
      <c r="F971" s="40"/>
      <c r="G971" s="40"/>
    </row>
    <row r="972">
      <c r="A972" s="28"/>
      <c r="B972" s="39"/>
      <c r="C972" s="40"/>
      <c r="D972" s="40"/>
      <c r="E972" s="40"/>
      <c r="F972" s="40"/>
      <c r="G972" s="40"/>
    </row>
    <row r="973">
      <c r="A973" s="28"/>
      <c r="B973" s="39"/>
      <c r="C973" s="40"/>
      <c r="D973" s="40"/>
      <c r="E973" s="40"/>
      <c r="F973" s="40"/>
      <c r="G973" s="40"/>
    </row>
    <row r="974">
      <c r="A974" s="28"/>
      <c r="B974" s="39"/>
      <c r="C974" s="40"/>
      <c r="D974" s="40"/>
      <c r="E974" s="40"/>
      <c r="F974" s="40"/>
      <c r="G974" s="40"/>
    </row>
    <row r="975">
      <c r="A975" s="28"/>
      <c r="B975" s="39"/>
      <c r="C975" s="40"/>
      <c r="D975" s="40"/>
      <c r="E975" s="40"/>
      <c r="F975" s="40"/>
      <c r="G975" s="40"/>
    </row>
    <row r="976">
      <c r="A976" s="28"/>
      <c r="B976" s="39"/>
      <c r="C976" s="40"/>
      <c r="D976" s="40"/>
      <c r="E976" s="40"/>
      <c r="F976" s="40"/>
      <c r="G976" s="40"/>
    </row>
    <row r="977">
      <c r="A977" s="28"/>
      <c r="B977" s="39"/>
      <c r="C977" s="40"/>
      <c r="D977" s="40"/>
      <c r="E977" s="40"/>
      <c r="F977" s="40"/>
      <c r="G977" s="40"/>
    </row>
    <row r="978">
      <c r="A978" s="28"/>
      <c r="B978" s="39"/>
      <c r="C978" s="40"/>
      <c r="D978" s="40"/>
      <c r="E978" s="40"/>
      <c r="F978" s="40"/>
      <c r="G978" s="40"/>
    </row>
    <row r="979">
      <c r="A979" s="28"/>
      <c r="B979" s="39"/>
      <c r="C979" s="40"/>
      <c r="D979" s="40"/>
      <c r="E979" s="40"/>
      <c r="F979" s="40"/>
      <c r="G979" s="40"/>
    </row>
    <row r="980">
      <c r="A980" s="28"/>
      <c r="B980" s="39"/>
      <c r="C980" s="40"/>
      <c r="D980" s="40"/>
      <c r="E980" s="40"/>
      <c r="F980" s="40"/>
      <c r="G980" s="40"/>
    </row>
    <row r="981">
      <c r="A981" s="28"/>
      <c r="B981" s="39"/>
      <c r="C981" s="40"/>
      <c r="D981" s="40"/>
      <c r="E981" s="40"/>
      <c r="F981" s="40"/>
      <c r="G981" s="40"/>
    </row>
    <row r="982">
      <c r="A982" s="28"/>
      <c r="B982" s="39"/>
      <c r="C982" s="40"/>
      <c r="D982" s="40"/>
      <c r="E982" s="40"/>
      <c r="F982" s="40"/>
      <c r="G982" s="40"/>
    </row>
    <row r="983">
      <c r="A983" s="28"/>
      <c r="B983" s="39"/>
      <c r="C983" s="40"/>
      <c r="D983" s="40"/>
      <c r="E983" s="40"/>
      <c r="F983" s="40"/>
      <c r="G983" s="40"/>
    </row>
    <row r="984">
      <c r="A984" s="28"/>
      <c r="B984" s="39"/>
      <c r="C984" s="40"/>
      <c r="D984" s="40"/>
      <c r="E984" s="40"/>
      <c r="F984" s="40"/>
      <c r="G984" s="40"/>
    </row>
    <row r="985">
      <c r="A985" s="28"/>
      <c r="B985" s="39"/>
      <c r="C985" s="40"/>
      <c r="D985" s="40"/>
      <c r="E985" s="40"/>
      <c r="F985" s="40"/>
      <c r="G985" s="40"/>
    </row>
    <row r="986">
      <c r="A986" s="28"/>
      <c r="B986" s="39"/>
      <c r="C986" s="40"/>
      <c r="D986" s="40"/>
      <c r="E986" s="40"/>
      <c r="F986" s="40"/>
      <c r="G986" s="40"/>
    </row>
  </sheetData>
  <mergeCells count="1">
    <mergeCell ref="A2:B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8.0"/>
    <col customWidth="1" min="2" max="2" width="99.43"/>
    <col customWidth="1" min="3" max="3" width="7.0"/>
    <col customWidth="1" min="4" max="7" width="8.0"/>
    <col customWidth="1" min="8" max="8" width="7.71"/>
  </cols>
  <sheetData>
    <row r="1">
      <c r="A1" t="str">
        <f>IFERROR(__xludf.DUMMYFUNCTION("IMPORTRANGE(""1cKkmyXVBwTBPe5BYRPLGS6yWh_CqTr9MZdmyYnhOZTA"", ""Ленты, шнурки, цепочки,!A1:g82"")")," ")</f>
        <v> </v>
      </c>
      <c r="B1" t="str">
        <f>IFERROR(__xludf.DUMMYFUNCTION("""COMPUTED_VALUE"""),"")</f>
        <v/>
      </c>
      <c r="C1" s="5" t="str">
        <f>IFERROR(__xludf.DUMMYFUNCTION("""COMPUTED_VALUE"""),"")</f>
        <v/>
      </c>
      <c r="D1" s="5" t="str">
        <f>IFERROR(__xludf.DUMMYFUNCTION("""COMPUTED_VALUE"""),"")</f>
        <v/>
      </c>
      <c r="E1" s="5" t="str">
        <f>IFERROR(__xludf.DUMMYFUNCTION("""COMPUTED_VALUE"""),"")</f>
        <v/>
      </c>
      <c r="F1" s="5" t="str">
        <f>IFERROR(__xludf.DUMMYFUNCTION("""COMPUTED_VALUE"""),"")</f>
        <v/>
      </c>
      <c r="G1" s="5" t="str">
        <f>IFERROR(__xludf.DUMMYFUNCTION("""COMPUTED_VALUE"""),"")</f>
        <v/>
      </c>
      <c r="H1" s="7"/>
    </row>
    <row r="2">
      <c r="A2" s="9" t="str">
        <f>IFERROR(__xludf.DUMMYFUNCTION("""COMPUTED_VALUE"""),"Ленты для бейджа без печати")</f>
        <v>Ленты для бейджа без печати</v>
      </c>
      <c r="H2" s="7"/>
    </row>
    <row r="3">
      <c r="A3" s="12" t="str">
        <f>IFERROR(__xludf.DUMMYFUNCTION("""COMPUTED_VALUE"""),"Шнурок")</f>
        <v>Шнурок</v>
      </c>
      <c r="B3" s="14"/>
      <c r="C3" s="16" t="str">
        <f>IFERROR(__xludf.DUMMYFUNCTION("""COMPUTED_VALUE"""),"50 шт")</f>
        <v>50 шт</v>
      </c>
      <c r="D3" s="16" t="str">
        <f>IFERROR(__xludf.DUMMYFUNCTION("""COMPUTED_VALUE"""),"100 шт")</f>
        <v>100 шт</v>
      </c>
      <c r="E3" s="16" t="str">
        <f>IFERROR(__xludf.DUMMYFUNCTION("""COMPUTED_VALUE"""),"200 шт")</f>
        <v>200 шт</v>
      </c>
      <c r="F3" s="16" t="str">
        <f>IFERROR(__xludf.DUMMYFUNCTION("""COMPUTED_VALUE"""),"300 шт")</f>
        <v>300 шт</v>
      </c>
      <c r="G3" s="16" t="str">
        <f>IFERROR(__xludf.DUMMYFUNCTION("""COMPUTED_VALUE"""),"500 шт")</f>
        <v>500 шт</v>
      </c>
      <c r="H3" s="7"/>
    </row>
    <row r="4">
      <c r="A4" s="19" t="str">
        <f>IFERROR(__xludf.DUMMYFUNCTION("""COMPUTED_VALUE"""),"RRR-301")</f>
        <v>RRR-301</v>
      </c>
      <c r="B4" s="19" t="str">
        <f>IFERROR(__xludf.DUMMYFUNCTION("""COMPUTED_VALUE"""),"Шнурок для бейджа с металлической клипсой")</f>
        <v>Шнурок для бейджа с металлической клипсой</v>
      </c>
      <c r="C4" s="21">
        <f>IFERROR(__xludf.DUMMYFUNCTION("""COMPUTED_VALUE"""),18.0)</f>
        <v>18</v>
      </c>
      <c r="D4" s="21">
        <f>IFERROR(__xludf.DUMMYFUNCTION("""COMPUTED_VALUE"""),18.0)</f>
        <v>18</v>
      </c>
      <c r="E4" s="21">
        <f>IFERROR(__xludf.DUMMYFUNCTION("""COMPUTED_VALUE"""),18.0)</f>
        <v>18</v>
      </c>
      <c r="F4" s="21">
        <f>IFERROR(__xludf.DUMMYFUNCTION("""COMPUTED_VALUE"""),18.0)</f>
        <v>18</v>
      </c>
      <c r="G4" s="21">
        <f>IFERROR(__xludf.DUMMYFUNCTION("""COMPUTED_VALUE"""),17.0)</f>
        <v>17</v>
      </c>
      <c r="H4" s="7"/>
    </row>
    <row r="5">
      <c r="A5" s="19" t="str">
        <f>IFERROR(__xludf.DUMMYFUNCTION("""COMPUTED_VALUE"""),"RRR-302")</f>
        <v>RRR-302</v>
      </c>
      <c r="B5" s="19" t="str">
        <f>IFERROR(__xludf.DUMMYFUNCTION("""COMPUTED_VALUE"""),"Шнурок для бейджа с металлическим карабином")</f>
        <v>Шнурок для бейджа с металлическим карабином</v>
      </c>
      <c r="C5" s="21">
        <f>IFERROR(__xludf.DUMMYFUNCTION("""COMPUTED_VALUE"""),18.0)</f>
        <v>18</v>
      </c>
      <c r="D5" s="21">
        <f>IFERROR(__xludf.DUMMYFUNCTION("""COMPUTED_VALUE"""),18.0)</f>
        <v>18</v>
      </c>
      <c r="E5" s="21">
        <f>IFERROR(__xludf.DUMMYFUNCTION("""COMPUTED_VALUE"""),18.0)</f>
        <v>18</v>
      </c>
      <c r="F5" s="21">
        <f>IFERROR(__xludf.DUMMYFUNCTION("""COMPUTED_VALUE"""),18.0)</f>
        <v>18</v>
      </c>
      <c r="G5" s="21">
        <f>IFERROR(__xludf.DUMMYFUNCTION("""COMPUTED_VALUE"""),17.0)</f>
        <v>17</v>
      </c>
      <c r="H5" s="7"/>
    </row>
    <row r="6">
      <c r="A6" s="19" t="str">
        <f>IFERROR(__xludf.DUMMYFUNCTION("""COMPUTED_VALUE"""),"RRR-306")</f>
        <v>RRR-306</v>
      </c>
      <c r="B6" s="19" t="str">
        <f>IFERROR(__xludf.DUMMYFUNCTION("""COMPUTED_VALUE"""),"Шнурок для бейджа с карабином-люкс")</f>
        <v>Шнурок для бейджа с карабином-люкс</v>
      </c>
      <c r="C6" s="21">
        <f>IFERROR(__xludf.DUMMYFUNCTION("""COMPUTED_VALUE"""),21.0)</f>
        <v>21</v>
      </c>
      <c r="D6" s="21">
        <f>IFERROR(__xludf.DUMMYFUNCTION("""COMPUTED_VALUE"""),21.0)</f>
        <v>21</v>
      </c>
      <c r="E6" s="21">
        <f>IFERROR(__xludf.DUMMYFUNCTION("""COMPUTED_VALUE"""),21.0)</f>
        <v>21</v>
      </c>
      <c r="F6" s="21">
        <f>IFERROR(__xludf.DUMMYFUNCTION("""COMPUTED_VALUE"""),21.0)</f>
        <v>21</v>
      </c>
      <c r="G6" s="21">
        <f>IFERROR(__xludf.DUMMYFUNCTION("""COMPUTED_VALUE"""),20.0)</f>
        <v>20</v>
      </c>
      <c r="H6" s="7"/>
    </row>
    <row r="7">
      <c r="A7" s="19" t="str">
        <f>IFERROR(__xludf.DUMMYFUNCTION("""COMPUTED_VALUE"""),"RRR-303.2")</f>
        <v>RRR-303.2</v>
      </c>
      <c r="B7" s="19" t="str">
        <f>IFERROR(__xludf.DUMMYFUNCTION("""COMPUTED_VALUE"""),"Шнурок для бейджа с 2-мя металлическими карабинами")</f>
        <v>Шнурок для бейджа с 2-мя металлическими карабинами</v>
      </c>
      <c r="C7" s="21">
        <f>IFERROR(__xludf.DUMMYFUNCTION("""COMPUTED_VALUE"""),26.0)</f>
        <v>26</v>
      </c>
      <c r="D7" s="21">
        <f>IFERROR(__xludf.DUMMYFUNCTION("""COMPUTED_VALUE"""),26.0)</f>
        <v>26</v>
      </c>
      <c r="E7" s="21">
        <f>IFERROR(__xludf.DUMMYFUNCTION("""COMPUTED_VALUE"""),26.0)</f>
        <v>26</v>
      </c>
      <c r="F7" s="21">
        <f>IFERROR(__xludf.DUMMYFUNCTION("""COMPUTED_VALUE"""),26.0)</f>
        <v>26</v>
      </c>
      <c r="G7" s="21">
        <f>IFERROR(__xludf.DUMMYFUNCTION("""COMPUTED_VALUE"""),25.0)</f>
        <v>25</v>
      </c>
      <c r="H7" s="7"/>
    </row>
    <row r="8">
      <c r="A8" s="19" t="str">
        <f>IFERROR(__xludf.DUMMYFUNCTION("""COMPUTED_VALUE"""),"RRR-304")</f>
        <v>RRR-304</v>
      </c>
      <c r="B8" s="19" t="str">
        <f>IFERROR(__xludf.DUMMYFUNCTION("""COMPUTED_VALUE"""),"Шнурок для бейджа с кольцом")</f>
        <v>Шнурок для бейджа с кольцом</v>
      </c>
      <c r="C8" s="21">
        <f>IFERROR(__xludf.DUMMYFUNCTION("""COMPUTED_VALUE"""),17.0)</f>
        <v>17</v>
      </c>
      <c r="D8" s="21">
        <f>IFERROR(__xludf.DUMMYFUNCTION("""COMPUTED_VALUE"""),17.0)</f>
        <v>17</v>
      </c>
      <c r="E8" s="21">
        <f>IFERROR(__xludf.DUMMYFUNCTION("""COMPUTED_VALUE"""),17.0)</f>
        <v>17</v>
      </c>
      <c r="F8" s="21">
        <f>IFERROR(__xludf.DUMMYFUNCTION("""COMPUTED_VALUE"""),17.0)</f>
        <v>17</v>
      </c>
      <c r="G8" s="21">
        <f>IFERROR(__xludf.DUMMYFUNCTION("""COMPUTED_VALUE"""),16.0)</f>
        <v>16</v>
      </c>
      <c r="H8" s="7"/>
    </row>
    <row r="9">
      <c r="A9" s="19" t="str">
        <f>IFERROR(__xludf.DUMMYFUNCTION("""COMPUTED_VALUE"""),"RRR-305")</f>
        <v>RRR-305</v>
      </c>
      <c r="B9" s="19" t="str">
        <f>IFERROR(__xludf.DUMMYFUNCTION("""COMPUTED_VALUE"""),"Шнурок для бейджа с пластиковым креплением для мобильного телефона")</f>
        <v>Шнурок для бейджа с пластиковым креплением для мобильного телефона</v>
      </c>
      <c r="C9" s="21">
        <f>IFERROR(__xludf.DUMMYFUNCTION("""COMPUTED_VALUE"""),19.0)</f>
        <v>19</v>
      </c>
      <c r="D9" s="21">
        <f>IFERROR(__xludf.DUMMYFUNCTION("""COMPUTED_VALUE"""),19.0)</f>
        <v>19</v>
      </c>
      <c r="E9" s="21">
        <f>IFERROR(__xludf.DUMMYFUNCTION("""COMPUTED_VALUE"""),19.0)</f>
        <v>19</v>
      </c>
      <c r="F9" s="21">
        <f>IFERROR(__xludf.DUMMYFUNCTION("""COMPUTED_VALUE"""),19.0)</f>
        <v>19</v>
      </c>
      <c r="G9" s="21">
        <f>IFERROR(__xludf.DUMMYFUNCTION("""COMPUTED_VALUE"""),18.0)</f>
        <v>18</v>
      </c>
      <c r="H9" s="7"/>
    </row>
    <row r="10">
      <c r="A10" s="19" t="str">
        <f>IFERROR(__xludf.DUMMYFUNCTION("""COMPUTED_VALUE"""),"RRR-307")</f>
        <v>RRR-307</v>
      </c>
      <c r="B10" s="19" t="str">
        <f>IFERROR(__xludf.DUMMYFUNCTION("""COMPUTED_VALUE"""),"Шнурок для бейджа с карабином-клешня")</f>
        <v>Шнурок для бейджа с карабином-клешня</v>
      </c>
      <c r="C10" s="21">
        <f>IFERROR(__xludf.DUMMYFUNCTION("""COMPUTED_VALUE"""),31.0)</f>
        <v>31</v>
      </c>
      <c r="D10" s="21">
        <f>IFERROR(__xludf.DUMMYFUNCTION("""COMPUTED_VALUE"""),31.0)</f>
        <v>31</v>
      </c>
      <c r="E10" s="21">
        <f>IFERROR(__xludf.DUMMYFUNCTION("""COMPUTED_VALUE"""),31.0)</f>
        <v>31</v>
      </c>
      <c r="F10" s="21">
        <f>IFERROR(__xludf.DUMMYFUNCTION("""COMPUTED_VALUE"""),31.0)</f>
        <v>31</v>
      </c>
      <c r="G10" s="21">
        <f>IFERROR(__xludf.DUMMYFUNCTION("""COMPUTED_VALUE"""),30.0)</f>
        <v>30</v>
      </c>
      <c r="H10" s="7"/>
    </row>
    <row r="11">
      <c r="A11" s="12" t="str">
        <f>IFERROR(__xludf.DUMMYFUNCTION("""COMPUTED_VALUE"""),"Лента 10 мм")</f>
        <v>Лента 10 мм</v>
      </c>
      <c r="B11" s="14"/>
      <c r="C11" s="16" t="str">
        <f>IFERROR(__xludf.DUMMYFUNCTION("""COMPUTED_VALUE"""),"50 шт")</f>
        <v>50 шт</v>
      </c>
      <c r="D11" s="16" t="str">
        <f>IFERROR(__xludf.DUMMYFUNCTION("""COMPUTED_VALUE"""),"100 шт")</f>
        <v>100 шт</v>
      </c>
      <c r="E11" s="16" t="str">
        <f>IFERROR(__xludf.DUMMYFUNCTION("""COMPUTED_VALUE"""),"200 шт")</f>
        <v>200 шт</v>
      </c>
      <c r="F11" s="16" t="str">
        <f>IFERROR(__xludf.DUMMYFUNCTION("""COMPUTED_VALUE"""),"300 шт")</f>
        <v>300 шт</v>
      </c>
      <c r="G11" s="16" t="str">
        <f>IFERROR(__xludf.DUMMYFUNCTION("""COMPUTED_VALUE"""),"500 шт")</f>
        <v>500 шт</v>
      </c>
      <c r="H11" s="7"/>
    </row>
    <row r="12">
      <c r="A12" s="19" t="str">
        <f>IFERROR(__xludf.DUMMYFUNCTION("""COMPUTED_VALUE"""),"LLL-101")</f>
        <v>LLL-101</v>
      </c>
      <c r="B12" s="19" t="str">
        <f>IFERROR(__xludf.DUMMYFUNCTION("""COMPUTED_VALUE"""),"Лента для бейджа с металлической клипсой (ширина 10мм)")</f>
        <v>Лента для бейджа с металлической клипсой (ширина 10мм)</v>
      </c>
      <c r="C12" s="21">
        <f>IFERROR(__xludf.DUMMYFUNCTION("""COMPUTED_VALUE"""),20.0)</f>
        <v>20</v>
      </c>
      <c r="D12" s="21">
        <f>IFERROR(__xludf.DUMMYFUNCTION("""COMPUTED_VALUE"""),20.0)</f>
        <v>20</v>
      </c>
      <c r="E12" s="21">
        <f>IFERROR(__xludf.DUMMYFUNCTION("""COMPUTED_VALUE"""),20.0)</f>
        <v>20</v>
      </c>
      <c r="F12" s="21">
        <f>IFERROR(__xludf.DUMMYFUNCTION("""COMPUTED_VALUE"""),20.0)</f>
        <v>20</v>
      </c>
      <c r="G12" s="21">
        <f>IFERROR(__xludf.DUMMYFUNCTION("""COMPUTED_VALUE"""),19.0)</f>
        <v>19</v>
      </c>
      <c r="H12" s="7"/>
    </row>
    <row r="13">
      <c r="A13" s="19" t="str">
        <f>IFERROR(__xludf.DUMMYFUNCTION("""COMPUTED_VALUE"""),"LLL-102")</f>
        <v>LLL-102</v>
      </c>
      <c r="B13" s="19" t="str">
        <f>IFERROR(__xludf.DUMMYFUNCTION("""COMPUTED_VALUE"""),"Лента для бейджа с металлическим карабином (ширина 10мм)")</f>
        <v>Лента для бейджа с металлическим карабином (ширина 10мм)</v>
      </c>
      <c r="C13" s="21">
        <f>IFERROR(__xludf.DUMMYFUNCTION("""COMPUTED_VALUE"""),20.0)</f>
        <v>20</v>
      </c>
      <c r="D13" s="21">
        <f>IFERROR(__xludf.DUMMYFUNCTION("""COMPUTED_VALUE"""),20.0)</f>
        <v>20</v>
      </c>
      <c r="E13" s="21">
        <f>IFERROR(__xludf.DUMMYFUNCTION("""COMPUTED_VALUE"""),20.0)</f>
        <v>20</v>
      </c>
      <c r="F13" s="21">
        <f>IFERROR(__xludf.DUMMYFUNCTION("""COMPUTED_VALUE"""),20.0)</f>
        <v>20</v>
      </c>
      <c r="G13" s="21">
        <f>IFERROR(__xludf.DUMMYFUNCTION("""COMPUTED_VALUE"""),19.0)</f>
        <v>19</v>
      </c>
      <c r="H13" s="7"/>
    </row>
    <row r="14">
      <c r="A14" s="19" t="str">
        <f>IFERROR(__xludf.DUMMYFUNCTION("""COMPUTED_VALUE"""),"LLL-103")</f>
        <v>LLL-103</v>
      </c>
      <c r="B14" s="19" t="str">
        <f>IFERROR(__xludf.DUMMYFUNCTION("""COMPUTED_VALUE"""),"Лента для бейджа c 2-мя металлическими карабинами (ширина 10мм)")</f>
        <v>Лента для бейджа c 2-мя металлическими карабинами (ширина 10мм)</v>
      </c>
      <c r="C14" s="21">
        <f>IFERROR(__xludf.DUMMYFUNCTION("""COMPUTED_VALUE"""),27.0)</f>
        <v>27</v>
      </c>
      <c r="D14" s="21">
        <f>IFERROR(__xludf.DUMMYFUNCTION("""COMPUTED_VALUE"""),27.0)</f>
        <v>27</v>
      </c>
      <c r="E14" s="21">
        <f>IFERROR(__xludf.DUMMYFUNCTION("""COMPUTED_VALUE"""),27.0)</f>
        <v>27</v>
      </c>
      <c r="F14" s="21">
        <f>IFERROR(__xludf.DUMMYFUNCTION("""COMPUTED_VALUE"""),27.0)</f>
        <v>27</v>
      </c>
      <c r="G14" s="21">
        <f>IFERROR(__xludf.DUMMYFUNCTION("""COMPUTED_VALUE"""),26.0)</f>
        <v>26</v>
      </c>
      <c r="H14" s="7"/>
    </row>
    <row r="15">
      <c r="A15" s="19" t="str">
        <f>IFERROR(__xludf.DUMMYFUNCTION("""COMPUTED_VALUE"""),"LLL-103.2")</f>
        <v>LLL-103.2</v>
      </c>
      <c r="B15" s="19" t="str">
        <f>IFERROR(__xludf.DUMMYFUNCTION("""COMPUTED_VALUE"""),"Лента для бейджа c 2-мя металлическими карабинами-люкс (ширина 10мм)")</f>
        <v>Лента для бейджа c 2-мя металлическими карабинами-люкс (ширина 10мм)</v>
      </c>
      <c r="C15" s="21">
        <f>IFERROR(__xludf.DUMMYFUNCTION("""COMPUTED_VALUE"""),34.0)</f>
        <v>34</v>
      </c>
      <c r="D15" s="21">
        <f>IFERROR(__xludf.DUMMYFUNCTION("""COMPUTED_VALUE"""),34.0)</f>
        <v>34</v>
      </c>
      <c r="E15" s="21">
        <f>IFERROR(__xludf.DUMMYFUNCTION("""COMPUTED_VALUE"""),34.0)</f>
        <v>34</v>
      </c>
      <c r="F15" s="21">
        <f>IFERROR(__xludf.DUMMYFUNCTION("""COMPUTED_VALUE"""),34.0)</f>
        <v>34</v>
      </c>
      <c r="G15" s="21">
        <f>IFERROR(__xludf.DUMMYFUNCTION("""COMPUTED_VALUE"""),33.0)</f>
        <v>33</v>
      </c>
      <c r="H15" s="7"/>
    </row>
    <row r="16">
      <c r="A16" s="19" t="str">
        <f>IFERROR(__xludf.DUMMYFUNCTION("""COMPUTED_VALUE"""),"LLL-104")</f>
        <v>LLL-104</v>
      </c>
      <c r="B16" s="19" t="str">
        <f>IFERROR(__xludf.DUMMYFUNCTION("""COMPUTED_VALUE"""),"Лента для бейджа c кольцом (ширина 10мм)")</f>
        <v>Лента для бейджа c кольцом (ширина 10мм)</v>
      </c>
      <c r="C16" s="21">
        <f>IFERROR(__xludf.DUMMYFUNCTION("""COMPUTED_VALUE"""),18.0)</f>
        <v>18</v>
      </c>
      <c r="D16" s="21">
        <f>IFERROR(__xludf.DUMMYFUNCTION("""COMPUTED_VALUE"""),18.0)</f>
        <v>18</v>
      </c>
      <c r="E16" s="21">
        <f>IFERROR(__xludf.DUMMYFUNCTION("""COMPUTED_VALUE"""),18.0)</f>
        <v>18</v>
      </c>
      <c r="F16" s="21">
        <f>IFERROR(__xludf.DUMMYFUNCTION("""COMPUTED_VALUE"""),18.0)</f>
        <v>18</v>
      </c>
      <c r="G16" s="21">
        <f>IFERROR(__xludf.DUMMYFUNCTION("""COMPUTED_VALUE"""),17.0)</f>
        <v>17</v>
      </c>
      <c r="H16" s="7"/>
    </row>
    <row r="17">
      <c r="A17" s="19" t="str">
        <f>IFERROR(__xludf.DUMMYFUNCTION("""COMPUTED_VALUE"""),"LLL-105")</f>
        <v>LLL-105</v>
      </c>
      <c r="B17" s="19" t="str">
        <f>IFERROR(__xludf.DUMMYFUNCTION("""COMPUTED_VALUE"""),"Лента для бейджа с пластиковым креплением для мобильного телефона (ширина 10мм)")</f>
        <v>Лента для бейджа с пластиковым креплением для мобильного телефона (ширина 10мм)</v>
      </c>
      <c r="C17" s="21">
        <f>IFERROR(__xludf.DUMMYFUNCTION("""COMPUTED_VALUE"""),21.0)</f>
        <v>21</v>
      </c>
      <c r="D17" s="21">
        <f>IFERROR(__xludf.DUMMYFUNCTION("""COMPUTED_VALUE"""),21.0)</f>
        <v>21</v>
      </c>
      <c r="E17" s="21">
        <f>IFERROR(__xludf.DUMMYFUNCTION("""COMPUTED_VALUE"""),21.0)</f>
        <v>21</v>
      </c>
      <c r="F17" s="21">
        <f>IFERROR(__xludf.DUMMYFUNCTION("""COMPUTED_VALUE"""),21.0)</f>
        <v>21</v>
      </c>
      <c r="G17" s="21">
        <f>IFERROR(__xludf.DUMMYFUNCTION("""COMPUTED_VALUE"""),20.0)</f>
        <v>20</v>
      </c>
      <c r="H17" s="7"/>
    </row>
    <row r="18">
      <c r="A18" s="19" t="str">
        <f>IFERROR(__xludf.DUMMYFUNCTION("""COMPUTED_VALUE"""),"LLL-106")</f>
        <v>LLL-106</v>
      </c>
      <c r="B18" s="19" t="str">
        <f>IFERROR(__xludf.DUMMYFUNCTION("""COMPUTED_VALUE"""),"Лента для бейджа с металлическим карабином-люкс (ширина 10мм)")</f>
        <v>Лента для бейджа с металлическим карабином-люкс (ширина 10мм)</v>
      </c>
      <c r="C18" s="21">
        <f>IFERROR(__xludf.DUMMYFUNCTION("""COMPUTED_VALUE"""),25.0)</f>
        <v>25</v>
      </c>
      <c r="D18" s="21">
        <f>IFERROR(__xludf.DUMMYFUNCTION("""COMPUTED_VALUE"""),25.0)</f>
        <v>25</v>
      </c>
      <c r="E18" s="21">
        <f>IFERROR(__xludf.DUMMYFUNCTION("""COMPUTED_VALUE"""),25.0)</f>
        <v>25</v>
      </c>
      <c r="F18" s="21">
        <f>IFERROR(__xludf.DUMMYFUNCTION("""COMPUTED_VALUE"""),25.0)</f>
        <v>25</v>
      </c>
      <c r="G18" s="21">
        <f>IFERROR(__xludf.DUMMYFUNCTION("""COMPUTED_VALUE"""),24.0)</f>
        <v>24</v>
      </c>
      <c r="H18" s="7"/>
    </row>
    <row r="19">
      <c r="A19" s="19" t="str">
        <f>IFERROR(__xludf.DUMMYFUNCTION("""COMPUTED_VALUE"""),"LLL-107")</f>
        <v>LLL-107</v>
      </c>
      <c r="B19" s="19" t="str">
        <f>IFERROR(__xludf.DUMMYFUNCTION("""COMPUTED_VALUE"""),"Лента для бейджа с металлическим карабином-клешня")</f>
        <v>Лента для бейджа с металлическим карабином-клешня</v>
      </c>
      <c r="C19" s="21">
        <f>IFERROR(__xludf.DUMMYFUNCTION("""COMPUTED_VALUE"""),29.0)</f>
        <v>29</v>
      </c>
      <c r="D19" s="21">
        <f>IFERROR(__xludf.DUMMYFUNCTION("""COMPUTED_VALUE"""),29.0)</f>
        <v>29</v>
      </c>
      <c r="E19" s="21">
        <f>IFERROR(__xludf.DUMMYFUNCTION("""COMPUTED_VALUE"""),29.0)</f>
        <v>29</v>
      </c>
      <c r="F19" s="21">
        <f>IFERROR(__xludf.DUMMYFUNCTION("""COMPUTED_VALUE"""),29.0)</f>
        <v>29</v>
      </c>
      <c r="G19" s="21">
        <f>IFERROR(__xludf.DUMMYFUNCTION("""COMPUTED_VALUE"""),28.0)</f>
        <v>28</v>
      </c>
      <c r="H19" s="7"/>
    </row>
    <row r="20">
      <c r="A20" s="19" t="str">
        <f>IFERROR(__xludf.DUMMYFUNCTION("""COMPUTED_VALUE"""),"LLL-108")</f>
        <v>LLL-108</v>
      </c>
      <c r="B20" s="19" t="str">
        <f>IFERROR(__xludf.DUMMYFUNCTION("""COMPUTED_VALUE"""),"Лента для бейджа с ретрактором (ширина 10мм)")</f>
        <v>Лента для бейджа с ретрактором (ширина 10мм)</v>
      </c>
      <c r="C20" s="21">
        <f>IFERROR(__xludf.DUMMYFUNCTION("""COMPUTED_VALUE"""),85.0)</f>
        <v>85</v>
      </c>
      <c r="D20" s="21">
        <f>IFERROR(__xludf.DUMMYFUNCTION("""COMPUTED_VALUE"""),85.0)</f>
        <v>85</v>
      </c>
      <c r="E20" s="21">
        <f>IFERROR(__xludf.DUMMYFUNCTION("""COMPUTED_VALUE"""),80.0)</f>
        <v>80</v>
      </c>
      <c r="F20" s="21">
        <f>IFERROR(__xludf.DUMMYFUNCTION("""COMPUTED_VALUE"""),75.0)</f>
        <v>75</v>
      </c>
      <c r="G20" s="21">
        <f>IFERROR(__xludf.DUMMYFUNCTION("""COMPUTED_VALUE"""),70.0)</f>
        <v>70</v>
      </c>
      <c r="H20" s="7"/>
    </row>
    <row r="21">
      <c r="A21" s="19" t="str">
        <f>IFERROR(__xludf.DUMMYFUNCTION("""COMPUTED_VALUE"""),"LLL-109")</f>
        <v>LLL-109</v>
      </c>
      <c r="B21" s="19" t="str">
        <f>IFERROR(__xludf.DUMMYFUNCTION("""COMPUTED_VALUE"""),"Лента для бейджа с пластиковым гриппером")</f>
        <v>Лента для бейджа с пластиковым гриппером</v>
      </c>
      <c r="C21" s="21">
        <f>IFERROR(__xludf.DUMMYFUNCTION("""COMPUTED_VALUE"""),28.0)</f>
        <v>28</v>
      </c>
      <c r="D21" s="21">
        <f>IFERROR(__xludf.DUMMYFUNCTION("""COMPUTED_VALUE"""),28.0)</f>
        <v>28</v>
      </c>
      <c r="E21" s="21">
        <f>IFERROR(__xludf.DUMMYFUNCTION("""COMPUTED_VALUE"""),28.0)</f>
        <v>28</v>
      </c>
      <c r="F21" s="21">
        <f>IFERROR(__xludf.DUMMYFUNCTION("""COMPUTED_VALUE"""),28.0)</f>
        <v>28</v>
      </c>
      <c r="G21" s="21">
        <f>IFERROR(__xludf.DUMMYFUNCTION("""COMPUTED_VALUE"""),27.0)</f>
        <v>27</v>
      </c>
      <c r="H21" s="7"/>
    </row>
    <row r="22">
      <c r="A22" s="12" t="str">
        <f>IFERROR(__xludf.DUMMYFUNCTION("""COMPUTED_VALUE"""),"Лента 15 мм")</f>
        <v>Лента 15 мм</v>
      </c>
      <c r="B22" s="14"/>
      <c r="C22" s="16" t="str">
        <f>IFERROR(__xludf.DUMMYFUNCTION("""COMPUTED_VALUE"""),"50 шт")</f>
        <v>50 шт</v>
      </c>
      <c r="D22" s="16" t="str">
        <f>IFERROR(__xludf.DUMMYFUNCTION("""COMPUTED_VALUE"""),"100 шт")</f>
        <v>100 шт</v>
      </c>
      <c r="E22" s="16" t="str">
        <f>IFERROR(__xludf.DUMMYFUNCTION("""COMPUTED_VALUE"""),"200 шт")</f>
        <v>200 шт</v>
      </c>
      <c r="F22" s="16" t="str">
        <f>IFERROR(__xludf.DUMMYFUNCTION("""COMPUTED_VALUE"""),"300 шт")</f>
        <v>300 шт</v>
      </c>
      <c r="G22" s="16" t="str">
        <f>IFERROR(__xludf.DUMMYFUNCTION("""COMPUTED_VALUE"""),"500 шт")</f>
        <v>500 шт</v>
      </c>
      <c r="H22" s="7"/>
    </row>
    <row r="23">
      <c r="A23" s="19" t="str">
        <f>IFERROR(__xludf.DUMMYFUNCTION("""COMPUTED_VALUE"""),"LLL-151")</f>
        <v>LLL-151</v>
      </c>
      <c r="B23" s="19" t="str">
        <f>IFERROR(__xludf.DUMMYFUNCTION("""COMPUTED_VALUE"""),"Лента для бейджа с поворотной металлической клипсой (ширина 15мм)")</f>
        <v>Лента для бейджа с поворотной металлической клипсой (ширина 15мм)</v>
      </c>
      <c r="C23" s="21">
        <f>IFERROR(__xludf.DUMMYFUNCTION("""COMPUTED_VALUE"""),27.0)</f>
        <v>27</v>
      </c>
      <c r="D23" s="21">
        <f>IFERROR(__xludf.DUMMYFUNCTION("""COMPUTED_VALUE"""),27.0)</f>
        <v>27</v>
      </c>
      <c r="E23" s="21">
        <f>IFERROR(__xludf.DUMMYFUNCTION("""COMPUTED_VALUE"""),27.0)</f>
        <v>27</v>
      </c>
      <c r="F23" s="21">
        <f>IFERROR(__xludf.DUMMYFUNCTION("""COMPUTED_VALUE"""),27.0)</f>
        <v>27</v>
      </c>
      <c r="G23" s="21">
        <f>IFERROR(__xludf.DUMMYFUNCTION("""COMPUTED_VALUE"""),26.0)</f>
        <v>26</v>
      </c>
      <c r="H23" s="7"/>
    </row>
    <row r="24">
      <c r="A24" s="19" t="str">
        <f>IFERROR(__xludf.DUMMYFUNCTION("""COMPUTED_VALUE"""),"LLL-152")</f>
        <v>LLL-152</v>
      </c>
      <c r="B24" s="19" t="str">
        <f>IFERROR(__xludf.DUMMYFUNCTION("""COMPUTED_VALUE"""),"Лента для бейджа с поворотным металлическим карабином (ширина 15мм)")</f>
        <v>Лента для бейджа с поворотным металлическим карабином (ширина 15мм)</v>
      </c>
      <c r="C24" s="21">
        <f>IFERROR(__xludf.DUMMYFUNCTION("""COMPUTED_VALUE"""),26.0)</f>
        <v>26</v>
      </c>
      <c r="D24" s="21">
        <f>IFERROR(__xludf.DUMMYFUNCTION("""COMPUTED_VALUE"""),26.0)</f>
        <v>26</v>
      </c>
      <c r="E24" s="21">
        <f>IFERROR(__xludf.DUMMYFUNCTION("""COMPUTED_VALUE"""),26.0)</f>
        <v>26</v>
      </c>
      <c r="F24" s="21">
        <f>IFERROR(__xludf.DUMMYFUNCTION("""COMPUTED_VALUE"""),26.0)</f>
        <v>26</v>
      </c>
      <c r="G24" s="21">
        <f>IFERROR(__xludf.DUMMYFUNCTION("""COMPUTED_VALUE"""),25.0)</f>
        <v>25</v>
      </c>
      <c r="H24" s="7"/>
    </row>
    <row r="25">
      <c r="A25" s="19" t="str">
        <f>IFERROR(__xludf.DUMMYFUNCTION("""COMPUTED_VALUE"""),"LLL-153")</f>
        <v>LLL-153</v>
      </c>
      <c r="B25" s="19" t="str">
        <f>IFERROR(__xludf.DUMMYFUNCTION("""COMPUTED_VALUE"""),"Лента для бейджа c 2-мя металлическими карабинами (ширина 15мм)")</f>
        <v>Лента для бейджа c 2-мя металлическими карабинами (ширина 15мм)</v>
      </c>
      <c r="C25" s="21">
        <f>IFERROR(__xludf.DUMMYFUNCTION("""COMPUTED_VALUE"""),30.0)</f>
        <v>30</v>
      </c>
      <c r="D25" s="21">
        <f>IFERROR(__xludf.DUMMYFUNCTION("""COMPUTED_VALUE"""),30.0)</f>
        <v>30</v>
      </c>
      <c r="E25" s="21">
        <f>IFERROR(__xludf.DUMMYFUNCTION("""COMPUTED_VALUE"""),30.0)</f>
        <v>30</v>
      </c>
      <c r="F25" s="21">
        <f>IFERROR(__xludf.DUMMYFUNCTION("""COMPUTED_VALUE"""),30.0)</f>
        <v>30</v>
      </c>
      <c r="G25" s="21">
        <f>IFERROR(__xludf.DUMMYFUNCTION("""COMPUTED_VALUE"""),29.0)</f>
        <v>29</v>
      </c>
      <c r="H25" s="7"/>
    </row>
    <row r="26">
      <c r="A26" s="19" t="str">
        <f>IFERROR(__xludf.DUMMYFUNCTION("""COMPUTED_VALUE"""),"LLL-153.2")</f>
        <v>LLL-153.2</v>
      </c>
      <c r="B26" s="19" t="str">
        <f>IFERROR(__xludf.DUMMYFUNCTION("""COMPUTED_VALUE"""),"Лента для бейджа с 2-мя металлическими карабинами-люкс (ширина 15мм)")</f>
        <v>Лента для бейджа с 2-мя металлическими карабинами-люкс (ширина 15мм)</v>
      </c>
      <c r="C26" s="21">
        <f>IFERROR(__xludf.DUMMYFUNCTION("""COMPUTED_VALUE"""),36.0)</f>
        <v>36</v>
      </c>
      <c r="D26" s="21">
        <f>IFERROR(__xludf.DUMMYFUNCTION("""COMPUTED_VALUE"""),36.0)</f>
        <v>36</v>
      </c>
      <c r="E26" s="21">
        <f>IFERROR(__xludf.DUMMYFUNCTION("""COMPUTED_VALUE"""),36.0)</f>
        <v>36</v>
      </c>
      <c r="F26" s="21">
        <f>IFERROR(__xludf.DUMMYFUNCTION("""COMPUTED_VALUE"""),36.0)</f>
        <v>36</v>
      </c>
      <c r="G26" s="21">
        <f>IFERROR(__xludf.DUMMYFUNCTION("""COMPUTED_VALUE"""),35.0)</f>
        <v>35</v>
      </c>
      <c r="H26" s="7"/>
    </row>
    <row r="27">
      <c r="A27" s="19" t="str">
        <f>IFERROR(__xludf.DUMMYFUNCTION("""COMPUTED_VALUE"""),"LLL-154")</f>
        <v>LLL-154</v>
      </c>
      <c r="B27" s="19" t="str">
        <f>IFERROR(__xludf.DUMMYFUNCTION("""COMPUTED_VALUE"""),"Лента для бейджа c кольцом (ширина 15мм)")</f>
        <v>Лента для бейджа c кольцом (ширина 15мм)</v>
      </c>
      <c r="C27" s="21">
        <f>IFERROR(__xludf.DUMMYFUNCTION("""COMPUTED_VALUE"""),21.0)</f>
        <v>21</v>
      </c>
      <c r="D27" s="21">
        <f>IFERROR(__xludf.DUMMYFUNCTION("""COMPUTED_VALUE"""),21.0)</f>
        <v>21</v>
      </c>
      <c r="E27" s="21">
        <f>IFERROR(__xludf.DUMMYFUNCTION("""COMPUTED_VALUE"""),21.0)</f>
        <v>21</v>
      </c>
      <c r="F27" s="21">
        <f>IFERROR(__xludf.DUMMYFUNCTION("""COMPUTED_VALUE"""),21.0)</f>
        <v>21</v>
      </c>
      <c r="G27" s="21">
        <f>IFERROR(__xludf.DUMMYFUNCTION("""COMPUTED_VALUE"""),20.0)</f>
        <v>20</v>
      </c>
      <c r="H27" s="7"/>
    </row>
    <row r="28">
      <c r="A28" s="19" t="str">
        <f>IFERROR(__xludf.DUMMYFUNCTION("""COMPUTED_VALUE"""),"LLL-155")</f>
        <v>LLL-155</v>
      </c>
      <c r="B28" s="19" t="str">
        <f>IFERROR(__xludf.DUMMYFUNCTION("""COMPUTED_VALUE"""),"Лента для бейджа с пластиковым креплением для мобильного телефона (ширина 15мм)")</f>
        <v>Лента для бейджа с пластиковым креплением для мобильного телефона (ширина 15мм)</v>
      </c>
      <c r="C28" s="21">
        <f>IFERROR(__xludf.DUMMYFUNCTION("""COMPUTED_VALUE"""),23.0)</f>
        <v>23</v>
      </c>
      <c r="D28" s="21">
        <f>IFERROR(__xludf.DUMMYFUNCTION("""COMPUTED_VALUE"""),23.0)</f>
        <v>23</v>
      </c>
      <c r="E28" s="21">
        <f>IFERROR(__xludf.DUMMYFUNCTION("""COMPUTED_VALUE"""),23.0)</f>
        <v>23</v>
      </c>
      <c r="F28" s="21">
        <f>IFERROR(__xludf.DUMMYFUNCTION("""COMPUTED_VALUE"""),23.0)</f>
        <v>23</v>
      </c>
      <c r="G28" s="21">
        <f>IFERROR(__xludf.DUMMYFUNCTION("""COMPUTED_VALUE"""),22.0)</f>
        <v>22</v>
      </c>
      <c r="H28" s="7"/>
    </row>
    <row r="29">
      <c r="A29" s="19" t="str">
        <f>IFERROR(__xludf.DUMMYFUNCTION("""COMPUTED_VALUE"""),"LLL-156")</f>
        <v>LLL-156</v>
      </c>
      <c r="B29" s="19" t="str">
        <f>IFERROR(__xludf.DUMMYFUNCTION("""COMPUTED_VALUE"""),"Лента для бейджа с металлическим карабином-люкс (ширина 15мм)")</f>
        <v>Лента для бейджа с металлическим карабином-люкс (ширина 15мм)</v>
      </c>
      <c r="C29" s="21">
        <f>IFERROR(__xludf.DUMMYFUNCTION("""COMPUTED_VALUE"""),30.0)</f>
        <v>30</v>
      </c>
      <c r="D29" s="21">
        <f>IFERROR(__xludf.DUMMYFUNCTION("""COMPUTED_VALUE"""),30.0)</f>
        <v>30</v>
      </c>
      <c r="E29" s="21">
        <f>IFERROR(__xludf.DUMMYFUNCTION("""COMPUTED_VALUE"""),30.0)</f>
        <v>30</v>
      </c>
      <c r="F29" s="21">
        <f>IFERROR(__xludf.DUMMYFUNCTION("""COMPUTED_VALUE"""),30.0)</f>
        <v>30</v>
      </c>
      <c r="G29" s="21">
        <f>IFERROR(__xludf.DUMMYFUNCTION("""COMPUTED_VALUE"""),29.0)</f>
        <v>29</v>
      </c>
      <c r="H29" s="7"/>
    </row>
    <row r="30">
      <c r="A30" s="19" t="str">
        <f>IFERROR(__xludf.DUMMYFUNCTION("""COMPUTED_VALUE"""),"LLL-157")</f>
        <v>LLL-157</v>
      </c>
      <c r="B30" s="19" t="str">
        <f>IFERROR(__xludf.DUMMYFUNCTION("""COMPUTED_VALUE"""),"Лента для бейджа с металлическим карабином-клешня")</f>
        <v>Лента для бейджа с металлическим карабином-клешня</v>
      </c>
      <c r="C30" s="21">
        <f>IFERROR(__xludf.DUMMYFUNCTION("""COMPUTED_VALUE"""),35.0)</f>
        <v>35</v>
      </c>
      <c r="D30" s="21">
        <f>IFERROR(__xludf.DUMMYFUNCTION("""COMPUTED_VALUE"""),35.0)</f>
        <v>35</v>
      </c>
      <c r="E30" s="21">
        <f>IFERROR(__xludf.DUMMYFUNCTION("""COMPUTED_VALUE"""),35.0)</f>
        <v>35</v>
      </c>
      <c r="F30" s="21">
        <f>IFERROR(__xludf.DUMMYFUNCTION("""COMPUTED_VALUE"""),35.0)</f>
        <v>35</v>
      </c>
      <c r="G30" s="21">
        <f>IFERROR(__xludf.DUMMYFUNCTION("""COMPUTED_VALUE"""),34.0)</f>
        <v>34</v>
      </c>
      <c r="H30" s="7"/>
    </row>
    <row r="31">
      <c r="A31" s="19" t="str">
        <f>IFERROR(__xludf.DUMMYFUNCTION("""COMPUTED_VALUE"""),"LLL-158")</f>
        <v>LLL-158</v>
      </c>
      <c r="B31" s="19" t="str">
        <f>IFERROR(__xludf.DUMMYFUNCTION("""COMPUTED_VALUE"""),"Лента для бейджа с ретрактором (ширина 15мм)")</f>
        <v>Лента для бейджа с ретрактором (ширина 15мм)</v>
      </c>
      <c r="C31" s="21">
        <f>IFERROR(__xludf.DUMMYFUNCTION("""COMPUTED_VALUE"""),90.0)</f>
        <v>90</v>
      </c>
      <c r="D31" s="21">
        <f>IFERROR(__xludf.DUMMYFUNCTION("""COMPUTED_VALUE"""),90.0)</f>
        <v>90</v>
      </c>
      <c r="E31" s="21">
        <f>IFERROR(__xludf.DUMMYFUNCTION("""COMPUTED_VALUE"""),80.0)</f>
        <v>80</v>
      </c>
      <c r="F31" s="21">
        <f>IFERROR(__xludf.DUMMYFUNCTION("""COMPUTED_VALUE"""),80.0)</f>
        <v>80</v>
      </c>
      <c r="G31" s="21">
        <f>IFERROR(__xludf.DUMMYFUNCTION("""COMPUTED_VALUE"""),75.0)</f>
        <v>75</v>
      </c>
      <c r="H31" s="7"/>
    </row>
    <row r="32">
      <c r="A32" s="12" t="str">
        <f>IFERROR(__xludf.DUMMYFUNCTION("""COMPUTED_VALUE"""),"Лента 20 мм")</f>
        <v>Лента 20 мм</v>
      </c>
      <c r="B32" s="14"/>
      <c r="C32" s="16" t="str">
        <f>IFERROR(__xludf.DUMMYFUNCTION("""COMPUTED_VALUE"""),"50 шт")</f>
        <v>50 шт</v>
      </c>
      <c r="D32" s="16" t="str">
        <f>IFERROR(__xludf.DUMMYFUNCTION("""COMPUTED_VALUE"""),"100 шт")</f>
        <v>100 шт</v>
      </c>
      <c r="E32" s="16" t="str">
        <f>IFERROR(__xludf.DUMMYFUNCTION("""COMPUTED_VALUE"""),"200 шт")</f>
        <v>200 шт</v>
      </c>
      <c r="F32" s="16" t="str">
        <f>IFERROR(__xludf.DUMMYFUNCTION("""COMPUTED_VALUE"""),"300 шт")</f>
        <v>300 шт</v>
      </c>
      <c r="G32" s="16" t="str">
        <f>IFERROR(__xludf.DUMMYFUNCTION("""COMPUTED_VALUE"""),"500 шт")</f>
        <v>500 шт</v>
      </c>
      <c r="H32" s="7"/>
    </row>
    <row r="33">
      <c r="A33" s="19" t="str">
        <f>IFERROR(__xludf.DUMMYFUNCTION("""COMPUTED_VALUE"""),"LLL-201")</f>
        <v>LLL-201</v>
      </c>
      <c r="B33" s="19" t="str">
        <f>IFERROR(__xludf.DUMMYFUNCTION("""COMPUTED_VALUE"""),"Лента для бейджа с поворотной металлической клипсой (ширина 20мм)")</f>
        <v>Лента для бейджа с поворотной металлической клипсой (ширина 20мм)</v>
      </c>
      <c r="C33" s="21">
        <f>IFERROR(__xludf.DUMMYFUNCTION("""COMPUTED_VALUE"""),29.0)</f>
        <v>29</v>
      </c>
      <c r="D33" s="21">
        <f>IFERROR(__xludf.DUMMYFUNCTION("""COMPUTED_VALUE"""),29.0)</f>
        <v>29</v>
      </c>
      <c r="E33" s="21">
        <f>IFERROR(__xludf.DUMMYFUNCTION("""COMPUTED_VALUE"""),29.0)</f>
        <v>29</v>
      </c>
      <c r="F33" s="21">
        <f>IFERROR(__xludf.DUMMYFUNCTION("""COMPUTED_VALUE"""),29.0)</f>
        <v>29</v>
      </c>
      <c r="G33" s="21">
        <f>IFERROR(__xludf.DUMMYFUNCTION("""COMPUTED_VALUE"""),28.0)</f>
        <v>28</v>
      </c>
      <c r="H33" s="7"/>
    </row>
    <row r="34">
      <c r="A34" s="19" t="str">
        <f>IFERROR(__xludf.DUMMYFUNCTION("""COMPUTED_VALUE"""),"LLL-202")</f>
        <v>LLL-202</v>
      </c>
      <c r="B34" s="19" t="str">
        <f>IFERROR(__xludf.DUMMYFUNCTION("""COMPUTED_VALUE"""),"Лента для бейджа с поворотным металлическим карабином (ширина 20мм)")</f>
        <v>Лента для бейджа с поворотным металлическим карабином (ширина 20мм)</v>
      </c>
      <c r="C34" s="21">
        <f>IFERROR(__xludf.DUMMYFUNCTION("""COMPUTED_VALUE"""),28.0)</f>
        <v>28</v>
      </c>
      <c r="D34" s="21">
        <f>IFERROR(__xludf.DUMMYFUNCTION("""COMPUTED_VALUE"""),28.0)</f>
        <v>28</v>
      </c>
      <c r="E34" s="21">
        <f>IFERROR(__xludf.DUMMYFUNCTION("""COMPUTED_VALUE"""),28.0)</f>
        <v>28</v>
      </c>
      <c r="F34" s="21">
        <f>IFERROR(__xludf.DUMMYFUNCTION("""COMPUTED_VALUE"""),28.0)</f>
        <v>28</v>
      </c>
      <c r="G34" s="21">
        <f>IFERROR(__xludf.DUMMYFUNCTION("""COMPUTED_VALUE"""),27.0)</f>
        <v>27</v>
      </c>
      <c r="H34" s="7"/>
    </row>
    <row r="35">
      <c r="A35" s="19" t="str">
        <f>IFERROR(__xludf.DUMMYFUNCTION("""COMPUTED_VALUE"""),"LLL-203")</f>
        <v>LLL-203</v>
      </c>
      <c r="B35" s="19" t="str">
        <f>IFERROR(__xludf.DUMMYFUNCTION("""COMPUTED_VALUE"""),"Лента для бейджа c 2-мя металлическими карабинами (ширина 20мм)")</f>
        <v>Лента для бейджа c 2-мя металлическими карабинами (ширина 20мм)</v>
      </c>
      <c r="C35" s="21">
        <f>IFERROR(__xludf.DUMMYFUNCTION("""COMPUTED_VALUE"""),32.0)</f>
        <v>32</v>
      </c>
      <c r="D35" s="21">
        <f>IFERROR(__xludf.DUMMYFUNCTION("""COMPUTED_VALUE"""),32.0)</f>
        <v>32</v>
      </c>
      <c r="E35" s="21">
        <f>IFERROR(__xludf.DUMMYFUNCTION("""COMPUTED_VALUE"""),32.0)</f>
        <v>32</v>
      </c>
      <c r="F35" s="21">
        <f>IFERROR(__xludf.DUMMYFUNCTION("""COMPUTED_VALUE"""),32.0)</f>
        <v>32</v>
      </c>
      <c r="G35" s="21">
        <f>IFERROR(__xludf.DUMMYFUNCTION("""COMPUTED_VALUE"""),31.0)</f>
        <v>31</v>
      </c>
      <c r="H35" s="7"/>
    </row>
    <row r="36">
      <c r="A36" s="19" t="str">
        <f>IFERROR(__xludf.DUMMYFUNCTION("""COMPUTED_VALUE"""),"LLL-203.2")</f>
        <v>LLL-203.2</v>
      </c>
      <c r="B36" s="19" t="str">
        <f>IFERROR(__xludf.DUMMYFUNCTION("""COMPUTED_VALUE"""),"Лента для бейджа с 2-мя металлическими карабинами-люкс (ширина 20мм)")</f>
        <v>Лента для бейджа с 2-мя металлическими карабинами-люкс (ширина 20мм)</v>
      </c>
      <c r="C36" s="21">
        <f>IFERROR(__xludf.DUMMYFUNCTION("""COMPUTED_VALUE"""),38.0)</f>
        <v>38</v>
      </c>
      <c r="D36" s="21">
        <f>IFERROR(__xludf.DUMMYFUNCTION("""COMPUTED_VALUE"""),38.0)</f>
        <v>38</v>
      </c>
      <c r="E36" s="21">
        <f>IFERROR(__xludf.DUMMYFUNCTION("""COMPUTED_VALUE"""),38.0)</f>
        <v>38</v>
      </c>
      <c r="F36" s="21">
        <f>IFERROR(__xludf.DUMMYFUNCTION("""COMPUTED_VALUE"""),38.0)</f>
        <v>38</v>
      </c>
      <c r="G36" s="21">
        <f>IFERROR(__xludf.DUMMYFUNCTION("""COMPUTED_VALUE"""),37.0)</f>
        <v>37</v>
      </c>
      <c r="H36" s="7"/>
    </row>
    <row r="37">
      <c r="A37" s="19" t="str">
        <f>IFERROR(__xludf.DUMMYFUNCTION("""COMPUTED_VALUE"""),"LLL-204")</f>
        <v>LLL-204</v>
      </c>
      <c r="B37" s="19" t="str">
        <f>IFERROR(__xludf.DUMMYFUNCTION("""COMPUTED_VALUE"""),"Лента для бейджа c кольцом (ширина 20мм)")</f>
        <v>Лента для бейджа c кольцом (ширина 20мм)</v>
      </c>
      <c r="C37" s="21">
        <f>IFERROR(__xludf.DUMMYFUNCTION("""COMPUTED_VALUE"""),23.0)</f>
        <v>23</v>
      </c>
      <c r="D37" s="21">
        <f>IFERROR(__xludf.DUMMYFUNCTION("""COMPUTED_VALUE"""),23.0)</f>
        <v>23</v>
      </c>
      <c r="E37" s="21">
        <f>IFERROR(__xludf.DUMMYFUNCTION("""COMPUTED_VALUE"""),23.0)</f>
        <v>23</v>
      </c>
      <c r="F37" s="21">
        <f>IFERROR(__xludf.DUMMYFUNCTION("""COMPUTED_VALUE"""),23.0)</f>
        <v>23</v>
      </c>
      <c r="G37" s="21">
        <f>IFERROR(__xludf.DUMMYFUNCTION("""COMPUTED_VALUE"""),22.0)</f>
        <v>22</v>
      </c>
      <c r="H37" s="7"/>
    </row>
    <row r="38">
      <c r="A38" s="19" t="str">
        <f>IFERROR(__xludf.DUMMYFUNCTION("""COMPUTED_VALUE"""),"LLL-205")</f>
        <v>LLL-205</v>
      </c>
      <c r="B38" s="19" t="str">
        <f>IFERROR(__xludf.DUMMYFUNCTION("""COMPUTED_VALUE"""),"Лента для бейджа с пластиковым креплением для мобильного телефона (ширина 20мм)")</f>
        <v>Лента для бейджа с пластиковым креплением для мобильного телефона (ширина 20мм)</v>
      </c>
      <c r="C38" s="21">
        <f>IFERROR(__xludf.DUMMYFUNCTION("""COMPUTED_VALUE"""),25.0)</f>
        <v>25</v>
      </c>
      <c r="D38" s="21">
        <f>IFERROR(__xludf.DUMMYFUNCTION("""COMPUTED_VALUE"""),25.0)</f>
        <v>25</v>
      </c>
      <c r="E38" s="21">
        <f>IFERROR(__xludf.DUMMYFUNCTION("""COMPUTED_VALUE"""),25.0)</f>
        <v>25</v>
      </c>
      <c r="F38" s="21">
        <f>IFERROR(__xludf.DUMMYFUNCTION("""COMPUTED_VALUE"""),25.0)</f>
        <v>25</v>
      </c>
      <c r="G38" s="21">
        <f>IFERROR(__xludf.DUMMYFUNCTION("""COMPUTED_VALUE"""),24.0)</f>
        <v>24</v>
      </c>
      <c r="H38" s="7"/>
    </row>
    <row r="39">
      <c r="A39" s="19" t="str">
        <f>IFERROR(__xludf.DUMMYFUNCTION("""COMPUTED_VALUE"""),"LLL-206")</f>
        <v>LLL-206</v>
      </c>
      <c r="B39" s="19" t="str">
        <f>IFERROR(__xludf.DUMMYFUNCTION("""COMPUTED_VALUE"""),"Лента для бейджа с металлическим карабином-люкс (ширина 20мм)")</f>
        <v>Лента для бейджа с металлическим карабином-люкс (ширина 20мм)</v>
      </c>
      <c r="C39" s="21">
        <f>IFERROR(__xludf.DUMMYFUNCTION("""COMPUTED_VALUE"""),33.0)</f>
        <v>33</v>
      </c>
      <c r="D39" s="21">
        <f>IFERROR(__xludf.DUMMYFUNCTION("""COMPUTED_VALUE"""),33.0)</f>
        <v>33</v>
      </c>
      <c r="E39" s="21">
        <f>IFERROR(__xludf.DUMMYFUNCTION("""COMPUTED_VALUE"""),33.0)</f>
        <v>33</v>
      </c>
      <c r="F39" s="21">
        <f>IFERROR(__xludf.DUMMYFUNCTION("""COMPUTED_VALUE"""),33.0)</f>
        <v>33</v>
      </c>
      <c r="G39" s="21">
        <f>IFERROR(__xludf.DUMMYFUNCTION("""COMPUTED_VALUE"""),32.0)</f>
        <v>32</v>
      </c>
      <c r="H39" s="7"/>
    </row>
    <row r="40">
      <c r="A40" s="19" t="str">
        <f>IFERROR(__xludf.DUMMYFUNCTION("""COMPUTED_VALUE"""),"LLL-207")</f>
        <v>LLL-207</v>
      </c>
      <c r="B40" s="19" t="str">
        <f>IFERROR(__xludf.DUMMYFUNCTION("""COMPUTED_VALUE"""),"Лента для бейджа с металлическим карабином-клешня")</f>
        <v>Лента для бейджа с металлическим карабином-клешня</v>
      </c>
      <c r="C40" s="21">
        <f>IFERROR(__xludf.DUMMYFUNCTION("""COMPUTED_VALUE"""),36.0)</f>
        <v>36</v>
      </c>
      <c r="D40" s="21">
        <f>IFERROR(__xludf.DUMMYFUNCTION("""COMPUTED_VALUE"""),36.0)</f>
        <v>36</v>
      </c>
      <c r="E40" s="21">
        <f>IFERROR(__xludf.DUMMYFUNCTION("""COMPUTED_VALUE"""),36.0)</f>
        <v>36</v>
      </c>
      <c r="F40" s="21">
        <f>IFERROR(__xludf.DUMMYFUNCTION("""COMPUTED_VALUE"""),36.0)</f>
        <v>36</v>
      </c>
      <c r="G40" s="21">
        <f>IFERROR(__xludf.DUMMYFUNCTION("""COMPUTED_VALUE"""),35.0)</f>
        <v>35</v>
      </c>
      <c r="H40" s="7"/>
    </row>
    <row r="41">
      <c r="A41" s="19" t="str">
        <f>IFERROR(__xludf.DUMMYFUNCTION("""COMPUTED_VALUE"""),"LLL-208")</f>
        <v>LLL-208</v>
      </c>
      <c r="B41" s="19" t="str">
        <f>IFERROR(__xludf.DUMMYFUNCTION("""COMPUTED_VALUE"""),"Лента для бейджа с ретрактором (ширина 20 мм)")</f>
        <v>Лента для бейджа с ретрактором (ширина 20 мм)</v>
      </c>
      <c r="C41" s="21">
        <f>IFERROR(__xludf.DUMMYFUNCTION("""COMPUTED_VALUE"""),95.0)</f>
        <v>95</v>
      </c>
      <c r="D41" s="21">
        <f>IFERROR(__xludf.DUMMYFUNCTION("""COMPUTED_VALUE"""),95.0)</f>
        <v>95</v>
      </c>
      <c r="E41" s="21">
        <f>IFERROR(__xludf.DUMMYFUNCTION("""COMPUTED_VALUE"""),85.0)</f>
        <v>85</v>
      </c>
      <c r="F41" s="21">
        <f>IFERROR(__xludf.DUMMYFUNCTION("""COMPUTED_VALUE"""),85.0)</f>
        <v>85</v>
      </c>
      <c r="G41" s="21">
        <f>IFERROR(__xludf.DUMMYFUNCTION("""COMPUTED_VALUE"""),80.0)</f>
        <v>80</v>
      </c>
      <c r="H41" s="7"/>
    </row>
    <row r="42">
      <c r="A42" s="44" t="str">
        <f>IFERROR(__xludf.DUMMYFUNCTION("""COMPUTED_VALUE"""),"Опции (дополнительное крепление)")</f>
        <v>Опции (дополнительное крепление)</v>
      </c>
      <c r="B42" s="44" t="str">
        <f>IFERROR(__xludf.DUMMYFUNCTION("""COMPUTED_VALUE"""),"")</f>
        <v/>
      </c>
      <c r="C42" s="46" t="str">
        <f>IFERROR(__xludf.DUMMYFUNCTION("""COMPUTED_VALUE"""),"50 шт")</f>
        <v>50 шт</v>
      </c>
      <c r="D42" s="46" t="str">
        <f>IFERROR(__xludf.DUMMYFUNCTION("""COMPUTED_VALUE"""),"100 шт")</f>
        <v>100 шт</v>
      </c>
      <c r="E42" s="46" t="str">
        <f>IFERROR(__xludf.DUMMYFUNCTION("""COMPUTED_VALUE"""),"200 шт")</f>
        <v>200 шт</v>
      </c>
      <c r="F42" s="46" t="str">
        <f>IFERROR(__xludf.DUMMYFUNCTION("""COMPUTED_VALUE"""),"300 шт")</f>
        <v>300 шт</v>
      </c>
      <c r="G42" s="46" t="str">
        <f>IFERROR(__xludf.DUMMYFUNCTION("""COMPUTED_VALUE"""),"500 шт")</f>
        <v>500 шт</v>
      </c>
      <c r="H42" s="7"/>
    </row>
    <row r="43">
      <c r="A43" s="48" t="str">
        <f>IFERROR(__xludf.DUMMYFUNCTION("""COMPUTED_VALUE"""),"")</f>
        <v/>
      </c>
      <c r="B43" s="48" t="str">
        <f>IFERROR(__xludf.DUMMYFUNCTION("""COMPUTED_VALUE"""),"Кольцо, регулятор длины, петля для мобильного")</f>
        <v>Кольцо, регулятор длины, петля для мобильного</v>
      </c>
      <c r="C43" s="50">
        <f>IFERROR(__xludf.DUMMYFUNCTION("""COMPUTED_VALUE"""),7.0)</f>
        <v>7</v>
      </c>
      <c r="D43" s="5" t="str">
        <f>IFERROR(__xludf.DUMMYFUNCTION("""COMPUTED_VALUE"""),"")</f>
        <v/>
      </c>
      <c r="E43" s="5" t="str">
        <f>IFERROR(__xludf.DUMMYFUNCTION("""COMPUTED_VALUE"""),"")</f>
        <v/>
      </c>
      <c r="F43" s="5" t="str">
        <f>IFERROR(__xludf.DUMMYFUNCTION("""COMPUTED_VALUE"""),"")</f>
        <v/>
      </c>
      <c r="G43" s="5" t="str">
        <f>IFERROR(__xludf.DUMMYFUNCTION("""COMPUTED_VALUE"""),"")</f>
        <v/>
      </c>
      <c r="H43" s="7"/>
    </row>
    <row r="44">
      <c r="A44" s="48" t="str">
        <f>IFERROR(__xludf.DUMMYFUNCTION("""COMPUTED_VALUE"""),"")</f>
        <v/>
      </c>
      <c r="B44" s="48" t="str">
        <f>IFERROR(__xludf.DUMMYFUNCTION("""COMPUTED_VALUE"""),"Замок безопасного разрыва, межуровневый замок")</f>
        <v>Замок безопасного разрыва, межуровневый замок</v>
      </c>
      <c r="C44" s="50">
        <f>IFERROR(__xludf.DUMMYFUNCTION("""COMPUTED_VALUE"""),10.0)</f>
        <v>10</v>
      </c>
      <c r="D44" s="5" t="str">
        <f>IFERROR(__xludf.DUMMYFUNCTION("""COMPUTED_VALUE"""),"")</f>
        <v/>
      </c>
      <c r="E44" s="5" t="str">
        <f>IFERROR(__xludf.DUMMYFUNCTION("""COMPUTED_VALUE"""),"")</f>
        <v/>
      </c>
      <c r="F44" s="5" t="str">
        <f>IFERROR(__xludf.DUMMYFUNCTION("""COMPUTED_VALUE"""),"")</f>
        <v/>
      </c>
      <c r="G44" s="5" t="str">
        <f>IFERROR(__xludf.DUMMYFUNCTION("""COMPUTED_VALUE"""),"")</f>
        <v/>
      </c>
      <c r="H44" s="7"/>
    </row>
    <row r="45">
      <c r="A45" s="48" t="str">
        <f>IFERROR(__xludf.DUMMYFUNCTION("""COMPUTED_VALUE"""),"HCLPG - 30")</f>
        <v>HCLPG - 30</v>
      </c>
      <c r="B45" s="48" t="str">
        <f>IFERROR(__xludf.DUMMYFUNCTION("""COMPUTED_VALUE"""),"Gripper 30, Держатель для бесконтактных карт.")</f>
        <v>Gripper 30, Держатель для бесконтактных карт.</v>
      </c>
      <c r="C45" s="50">
        <f>IFERROR(__xludf.DUMMYFUNCTION("""COMPUTED_VALUE"""),20.0)</f>
        <v>20</v>
      </c>
      <c r="D45" s="5" t="str">
        <f>IFERROR(__xludf.DUMMYFUNCTION("""COMPUTED_VALUE"""),"")</f>
        <v/>
      </c>
      <c r="E45" s="5" t="str">
        <f>IFERROR(__xludf.DUMMYFUNCTION("""COMPUTED_VALUE"""),"")</f>
        <v/>
      </c>
      <c r="F45" s="5" t="str">
        <f>IFERROR(__xludf.DUMMYFUNCTION("""COMPUTED_VALUE"""),"")</f>
        <v/>
      </c>
      <c r="G45" s="5" t="str">
        <f>IFERROR(__xludf.DUMMYFUNCTION("""COMPUTED_VALUE"""),"")</f>
        <v/>
      </c>
      <c r="H45" s="7"/>
    </row>
    <row r="46">
      <c r="A46" s="51" t="str">
        <f>IFERROR(__xludf.DUMMYFUNCTION("""COMPUTED_VALUE"""),"Ленты для бейджа с печатью (шелкография)")</f>
        <v>Ленты для бейджа с печатью (шелкография)</v>
      </c>
      <c r="H46" s="7"/>
    </row>
    <row r="47">
      <c r="A47" s="44" t="str">
        <f>IFERROR(__xludf.DUMMYFUNCTION("""COMPUTED_VALUE"""),"Крепление на выбор: металлический карабин, клипса, фастекс, кольцо")</f>
        <v>Крепление на выбор: металлический карабин, клипса, фастекс, кольцо</v>
      </c>
      <c r="B47" s="44" t="str">
        <f>IFERROR(__xludf.DUMMYFUNCTION("""COMPUTED_VALUE"""),"")</f>
        <v/>
      </c>
      <c r="C47" s="46" t="str">
        <f>IFERROR(__xludf.DUMMYFUNCTION("""COMPUTED_VALUE"""),"50 шт")</f>
        <v>50 шт</v>
      </c>
      <c r="D47" s="46" t="str">
        <f>IFERROR(__xludf.DUMMYFUNCTION("""COMPUTED_VALUE"""),"100 шт")</f>
        <v>100 шт</v>
      </c>
      <c r="E47" s="46" t="str">
        <f>IFERROR(__xludf.DUMMYFUNCTION("""COMPUTED_VALUE"""),"200 шт")</f>
        <v>200 шт</v>
      </c>
      <c r="F47" s="46" t="str">
        <f>IFERROR(__xludf.DUMMYFUNCTION("""COMPUTED_VALUE"""),"300 шт")</f>
        <v>300 шт</v>
      </c>
      <c r="G47" s="46" t="str">
        <f>IFERROR(__xludf.DUMMYFUNCTION("""COMPUTED_VALUE"""),"500 шт")</f>
        <v>500 шт</v>
      </c>
      <c r="H47" s="7"/>
    </row>
    <row r="48">
      <c r="A48" s="19" t="str">
        <f>IFERROR(__xludf.DUMMYFUNCTION("""COMPUTED_VALUE"""),"ШЛ10-МК/1")</f>
        <v>ШЛ10-МК/1</v>
      </c>
      <c r="B48" s="19" t="str">
        <f>IFERROR(__xludf.DUMMYFUNCTION("""COMPUTED_VALUE"""),"Ленточка для бейджа с шелкотрафаретной печатью логотипа,10 мм, 1 цвет печати")</f>
        <v>Ленточка для бейджа с шелкотрафаретной печатью логотипа,10 мм, 1 цвет печати</v>
      </c>
      <c r="C48" s="21" t="str">
        <f>IFERROR(__xludf.DUMMYFUNCTION("""COMPUTED_VALUE"""),"-------")</f>
        <v>-------</v>
      </c>
      <c r="D48" s="21">
        <f>IFERROR(__xludf.DUMMYFUNCTION("""COMPUTED_VALUE"""),90.0)</f>
        <v>90</v>
      </c>
      <c r="E48" s="21">
        <f>IFERROR(__xludf.DUMMYFUNCTION("""COMPUTED_VALUE"""),80.0)</f>
        <v>80</v>
      </c>
      <c r="F48" s="21">
        <f>IFERROR(__xludf.DUMMYFUNCTION("""COMPUTED_VALUE"""),65.0)</f>
        <v>65</v>
      </c>
      <c r="G48" s="21">
        <f>IFERROR(__xludf.DUMMYFUNCTION("""COMPUTED_VALUE"""),50.0)</f>
        <v>50</v>
      </c>
      <c r="H48" s="7"/>
    </row>
    <row r="49">
      <c r="A49" s="19" t="str">
        <f>IFERROR(__xludf.DUMMYFUNCTION("""COMPUTED_VALUE"""),"ШЛ10-МК/2")</f>
        <v>ШЛ10-МК/2</v>
      </c>
      <c r="B49" s="19" t="str">
        <f>IFERROR(__xludf.DUMMYFUNCTION("""COMPUTED_VALUE"""),"Ленточка для бейджа с шелкотрафаретной печатью логотипа,10 мм, 2 цвета печати")</f>
        <v>Ленточка для бейджа с шелкотрафаретной печатью логотипа,10 мм, 2 цвета печати</v>
      </c>
      <c r="C49" s="21" t="str">
        <f>IFERROR(__xludf.DUMMYFUNCTION("""COMPUTED_VALUE"""),"-------")</f>
        <v>-------</v>
      </c>
      <c r="D49" s="21">
        <f>IFERROR(__xludf.DUMMYFUNCTION("""COMPUTED_VALUE"""),95.0)</f>
        <v>95</v>
      </c>
      <c r="E49" s="21">
        <f>IFERROR(__xludf.DUMMYFUNCTION("""COMPUTED_VALUE"""),85.0)</f>
        <v>85</v>
      </c>
      <c r="F49" s="21">
        <f>IFERROR(__xludf.DUMMYFUNCTION("""COMPUTED_VALUE"""),70.0)</f>
        <v>70</v>
      </c>
      <c r="G49" s="21">
        <f>IFERROR(__xludf.DUMMYFUNCTION("""COMPUTED_VALUE"""),55.0)</f>
        <v>55</v>
      </c>
      <c r="H49" s="7"/>
    </row>
    <row r="50">
      <c r="A50" s="19" t="str">
        <f>IFERROR(__xludf.DUMMYFUNCTION("""COMPUTED_VALUE"""),"ШЛ15-МК/1")</f>
        <v>ШЛ15-МК/1</v>
      </c>
      <c r="B50" s="19" t="str">
        <f>IFERROR(__xludf.DUMMYFUNCTION("""COMPUTED_VALUE"""),"Ленточка для бейджа с шелкотрафаретной печатью логотипа,15 мм, 1 цвет печати")</f>
        <v>Ленточка для бейджа с шелкотрафаретной печатью логотипа,15 мм, 1 цвет печати</v>
      </c>
      <c r="C50" s="21" t="str">
        <f>IFERROR(__xludf.DUMMYFUNCTION("""COMPUTED_VALUE"""),"-------")</f>
        <v>-------</v>
      </c>
      <c r="D50" s="21">
        <f>IFERROR(__xludf.DUMMYFUNCTION("""COMPUTED_VALUE"""),93.0)</f>
        <v>93</v>
      </c>
      <c r="E50" s="21">
        <f>IFERROR(__xludf.DUMMYFUNCTION("""COMPUTED_VALUE"""),83.0)</f>
        <v>83</v>
      </c>
      <c r="F50" s="21">
        <f>IFERROR(__xludf.DUMMYFUNCTION("""COMPUTED_VALUE"""),68.0)</f>
        <v>68</v>
      </c>
      <c r="G50" s="21">
        <f>IFERROR(__xludf.DUMMYFUNCTION("""COMPUTED_VALUE"""),53.0)</f>
        <v>53</v>
      </c>
      <c r="H50" s="7"/>
    </row>
    <row r="51">
      <c r="A51" s="19" t="str">
        <f>IFERROR(__xludf.DUMMYFUNCTION("""COMPUTED_VALUE"""),"ШЛ15-МК/2")</f>
        <v>ШЛ15-МК/2</v>
      </c>
      <c r="B51" s="19" t="str">
        <f>IFERROR(__xludf.DUMMYFUNCTION("""COMPUTED_VALUE"""),"Ленточка для бейджа с шелкотрафаретной печатью логотипа,15 мм, 2 цвета печати")</f>
        <v>Ленточка для бейджа с шелкотрафаретной печатью логотипа,15 мм, 2 цвета печати</v>
      </c>
      <c r="C51" s="21" t="str">
        <f>IFERROR(__xludf.DUMMYFUNCTION("""COMPUTED_VALUE"""),"-------")</f>
        <v>-------</v>
      </c>
      <c r="D51" s="21">
        <f>IFERROR(__xludf.DUMMYFUNCTION("""COMPUTED_VALUE"""),98.0)</f>
        <v>98</v>
      </c>
      <c r="E51" s="21">
        <f>IFERROR(__xludf.DUMMYFUNCTION("""COMPUTED_VALUE"""),88.0)</f>
        <v>88</v>
      </c>
      <c r="F51" s="21">
        <f>IFERROR(__xludf.DUMMYFUNCTION("""COMPUTED_VALUE"""),73.0)</f>
        <v>73</v>
      </c>
      <c r="G51" s="21">
        <f>IFERROR(__xludf.DUMMYFUNCTION("""COMPUTED_VALUE"""),58.0)</f>
        <v>58</v>
      </c>
      <c r="H51" s="7"/>
    </row>
    <row r="52">
      <c r="A52" s="19" t="str">
        <f>IFERROR(__xludf.DUMMYFUNCTION("""COMPUTED_VALUE"""),"ШЛ20-МК/1")</f>
        <v>ШЛ20-МК/1</v>
      </c>
      <c r="B52" s="19" t="str">
        <f>IFERROR(__xludf.DUMMYFUNCTION("""COMPUTED_VALUE"""),"Ленточка для бейджа с шелкотрафаретной печатью логотипа,20 мм, 1 цвет печати")</f>
        <v>Ленточка для бейджа с шелкотрафаретной печатью логотипа,20 мм, 1 цвет печати</v>
      </c>
      <c r="C52" s="21" t="str">
        <f>IFERROR(__xludf.DUMMYFUNCTION("""COMPUTED_VALUE"""),"-------")</f>
        <v>-------</v>
      </c>
      <c r="D52" s="21">
        <f>IFERROR(__xludf.DUMMYFUNCTION("""COMPUTED_VALUE"""),95.0)</f>
        <v>95</v>
      </c>
      <c r="E52" s="21">
        <f>IFERROR(__xludf.DUMMYFUNCTION("""COMPUTED_VALUE"""),85.0)</f>
        <v>85</v>
      </c>
      <c r="F52" s="21">
        <f>IFERROR(__xludf.DUMMYFUNCTION("""COMPUTED_VALUE"""),70.0)</f>
        <v>70</v>
      </c>
      <c r="G52" s="21">
        <f>IFERROR(__xludf.DUMMYFUNCTION("""COMPUTED_VALUE"""),55.0)</f>
        <v>55</v>
      </c>
      <c r="H52" s="7"/>
    </row>
    <row r="53">
      <c r="A53" s="19" t="str">
        <f>IFERROR(__xludf.DUMMYFUNCTION("""COMPUTED_VALUE"""),"ШЛ20-МК/2")</f>
        <v>ШЛ20-МК/2</v>
      </c>
      <c r="B53" s="19" t="str">
        <f>IFERROR(__xludf.DUMMYFUNCTION("""COMPUTED_VALUE"""),"Ленточка для бейджа с шелкотрафаретной печатью логотипа,20 мм, 2 цвета печати")</f>
        <v>Ленточка для бейджа с шелкотрафаретной печатью логотипа,20 мм, 2 цвета печати</v>
      </c>
      <c r="C53" s="21" t="str">
        <f>IFERROR(__xludf.DUMMYFUNCTION("""COMPUTED_VALUE"""),"-------")</f>
        <v>-------</v>
      </c>
      <c r="D53" s="21">
        <f>IFERROR(__xludf.DUMMYFUNCTION("""COMPUTED_VALUE"""),100.0)</f>
        <v>100</v>
      </c>
      <c r="E53" s="21">
        <f>IFERROR(__xludf.DUMMYFUNCTION("""COMPUTED_VALUE"""),90.0)</f>
        <v>90</v>
      </c>
      <c r="F53" s="21">
        <f>IFERROR(__xludf.DUMMYFUNCTION("""COMPUTED_VALUE"""),75.0)</f>
        <v>75</v>
      </c>
      <c r="G53" s="21">
        <f>IFERROR(__xludf.DUMMYFUNCTION("""COMPUTED_VALUE"""),60.0)</f>
        <v>60</v>
      </c>
      <c r="H53" s="7"/>
    </row>
    <row r="54">
      <c r="A54" s="19" t="str">
        <f>IFERROR(__xludf.DUMMYFUNCTION("""COMPUTED_VALUE"""),"")</f>
        <v/>
      </c>
      <c r="B54" s="54" t="str">
        <f>IFERROR(__xludf.DUMMYFUNCTION("""COMPUTED_VALUE"""),"За печать с оборотной стороны + 35% к цене (возможно напечатать только 1+1 или 2+1)")</f>
        <v>За печать с оборотной стороны + 35% к цене (возможно напечатать только 1+1 или 2+1)</v>
      </c>
      <c r="C54" s="55" t="str">
        <f>IFERROR(__xludf.DUMMYFUNCTION("""COMPUTED_VALUE"""),"")</f>
        <v/>
      </c>
      <c r="D54" s="5" t="str">
        <f>IFERROR(__xludf.DUMMYFUNCTION("""COMPUTED_VALUE"""),"")</f>
        <v/>
      </c>
      <c r="E54" s="5" t="str">
        <f>IFERROR(__xludf.DUMMYFUNCTION("""COMPUTED_VALUE"""),"")</f>
        <v/>
      </c>
      <c r="F54" s="5" t="str">
        <f>IFERROR(__xludf.DUMMYFUNCTION("""COMPUTED_VALUE"""),"")</f>
        <v/>
      </c>
      <c r="G54" s="5" t="str">
        <f>IFERROR(__xludf.DUMMYFUNCTION("""COMPUTED_VALUE"""),"")</f>
        <v/>
      </c>
      <c r="H54" s="7"/>
    </row>
    <row r="55">
      <c r="A55" s="19" t="str">
        <f>IFERROR(__xludf.DUMMYFUNCTION("""COMPUTED_VALUE"""),"")</f>
        <v/>
      </c>
      <c r="B55" s="54" t="str">
        <f>IFERROR(__xludf.DUMMYFUNCTION("""COMPUTED_VALUE"""),"Замена крепления на ""карабин-клешня"" плюсуем к ленте")</f>
        <v>Замена крепления на "карабин-клешня" плюсуем к ленте</v>
      </c>
      <c r="C55" s="55" t="str">
        <f>IFERROR(__xludf.DUMMYFUNCTION("""COMPUTED_VALUE"""),"10 руб")</f>
        <v>10 руб</v>
      </c>
      <c r="D55" s="5" t="str">
        <f>IFERROR(__xludf.DUMMYFUNCTION("""COMPUTED_VALUE"""),"")</f>
        <v/>
      </c>
      <c r="E55" s="5" t="str">
        <f>IFERROR(__xludf.DUMMYFUNCTION("""COMPUTED_VALUE"""),"")</f>
        <v/>
      </c>
      <c r="F55" s="5" t="str">
        <f>IFERROR(__xludf.DUMMYFUNCTION("""COMPUTED_VALUE"""),"")</f>
        <v/>
      </c>
      <c r="G55" s="5" t="str">
        <f>IFERROR(__xludf.DUMMYFUNCTION("""COMPUTED_VALUE"""),"")</f>
        <v/>
      </c>
      <c r="H55" s="7"/>
    </row>
    <row r="56">
      <c r="A56" t="str">
        <f>IFERROR(__xludf.DUMMYFUNCTION("""COMPUTED_VALUE"""),"")</f>
        <v/>
      </c>
      <c r="B56" t="str">
        <f>IFERROR(__xludf.DUMMYFUNCTION("""COMPUTED_VALUE"""),"")</f>
        <v/>
      </c>
      <c r="C56" s="5" t="str">
        <f>IFERROR(__xludf.DUMMYFUNCTION("""COMPUTED_VALUE"""),"")</f>
        <v/>
      </c>
      <c r="D56" s="5" t="str">
        <f>IFERROR(__xludf.DUMMYFUNCTION("""COMPUTED_VALUE"""),"")</f>
        <v/>
      </c>
      <c r="E56" s="5" t="str">
        <f>IFERROR(__xludf.DUMMYFUNCTION("""COMPUTED_VALUE"""),"")</f>
        <v/>
      </c>
      <c r="F56" s="5" t="str">
        <f>IFERROR(__xludf.DUMMYFUNCTION("""COMPUTED_VALUE"""),"")</f>
        <v/>
      </c>
      <c r="G56" s="5" t="str">
        <f>IFERROR(__xludf.DUMMYFUNCTION("""COMPUTED_VALUE"""),"")</f>
        <v/>
      </c>
      <c r="H56" s="7"/>
    </row>
    <row r="57">
      <c r="A57" s="59" t="str">
        <f>IFERROR(__xludf.DUMMYFUNCTION("""COMPUTED_VALUE"""),"Крепление ретрактор")</f>
        <v>Крепление ретрактор</v>
      </c>
      <c r="B57" s="14"/>
      <c r="C57" s="16" t="str">
        <f>IFERROR(__xludf.DUMMYFUNCTION("""COMPUTED_VALUE"""),"50 шт")</f>
        <v>50 шт</v>
      </c>
      <c r="D57" s="16" t="str">
        <f>IFERROR(__xludf.DUMMYFUNCTION("""COMPUTED_VALUE"""),"100 шт")</f>
        <v>100 шт</v>
      </c>
      <c r="E57" s="16" t="str">
        <f>IFERROR(__xludf.DUMMYFUNCTION("""COMPUTED_VALUE"""),"200 шт")</f>
        <v>200 шт</v>
      </c>
      <c r="F57" s="16" t="str">
        <f>IFERROR(__xludf.DUMMYFUNCTION("""COMPUTED_VALUE"""),"300 шт")</f>
        <v>300 шт</v>
      </c>
      <c r="G57" s="16" t="str">
        <f>IFERROR(__xludf.DUMMYFUNCTION("""COMPUTED_VALUE"""),"500 шт")</f>
        <v>500 шт</v>
      </c>
      <c r="H57" s="7"/>
    </row>
    <row r="58">
      <c r="A58" s="19" t="str">
        <f>IFERROR(__xludf.DUMMYFUNCTION("""COMPUTED_VALUE"""),"ШЛ10-Ret")</f>
        <v>ШЛ10-Ret</v>
      </c>
      <c r="B58" s="19" t="str">
        <f>IFERROR(__xludf.DUMMYFUNCTION("""COMPUTED_VALUE"""),"Ленточка для бейджа с печатью логотипа, крепление ретрактор.")</f>
        <v>Ленточка для бейджа с печатью логотипа, крепление ретрактор.</v>
      </c>
      <c r="C58" s="21" t="str">
        <f>IFERROR(__xludf.DUMMYFUNCTION("""COMPUTED_VALUE"""),"-------")</f>
        <v>-------</v>
      </c>
      <c r="D58" s="21">
        <f>IFERROR(__xludf.DUMMYFUNCTION("""COMPUTED_VALUE"""),130.0)</f>
        <v>130</v>
      </c>
      <c r="E58" s="21">
        <f>IFERROR(__xludf.DUMMYFUNCTION("""COMPUTED_VALUE"""),125.0)</f>
        <v>125</v>
      </c>
      <c r="F58" s="21">
        <f>IFERROR(__xludf.DUMMYFUNCTION("""COMPUTED_VALUE"""),120.0)</f>
        <v>120</v>
      </c>
      <c r="G58" s="21">
        <f>IFERROR(__xludf.DUMMYFUNCTION("""COMPUTED_VALUE"""),105.0)</f>
        <v>105</v>
      </c>
      <c r="H58" s="7"/>
    </row>
    <row r="59">
      <c r="A59" s="19" t="str">
        <f>IFERROR(__xludf.DUMMYFUNCTION("""COMPUTED_VALUE"""),"ШЛ15-Ret")</f>
        <v>ШЛ15-Ret</v>
      </c>
      <c r="B59" s="19" t="str">
        <f>IFERROR(__xludf.DUMMYFUNCTION("""COMPUTED_VALUE"""),"Ленточка для бейджа с печатью логотипа, крепление ретрактор.")</f>
        <v>Ленточка для бейджа с печатью логотипа, крепление ретрактор.</v>
      </c>
      <c r="C59" s="21" t="str">
        <f>IFERROR(__xludf.DUMMYFUNCTION("""COMPUTED_VALUE"""),"-------")</f>
        <v>-------</v>
      </c>
      <c r="D59" s="21">
        <f>IFERROR(__xludf.DUMMYFUNCTION("""COMPUTED_VALUE"""),135.0)</f>
        <v>135</v>
      </c>
      <c r="E59" s="21">
        <f>IFERROR(__xludf.DUMMYFUNCTION("""COMPUTED_VALUE"""),130.0)</f>
        <v>130</v>
      </c>
      <c r="F59" s="21">
        <f>IFERROR(__xludf.DUMMYFUNCTION("""COMPUTED_VALUE"""),125.0)</f>
        <v>125</v>
      </c>
      <c r="G59" s="21">
        <f>IFERROR(__xludf.DUMMYFUNCTION("""COMPUTED_VALUE"""),110.0)</f>
        <v>110</v>
      </c>
      <c r="H59" s="7"/>
    </row>
    <row r="60">
      <c r="A60" s="19" t="str">
        <f>IFERROR(__xludf.DUMMYFUNCTION("""COMPUTED_VALUE"""),"ШЛ20-Ret")</f>
        <v>ШЛ20-Ret</v>
      </c>
      <c r="B60" s="19" t="str">
        <f>IFERROR(__xludf.DUMMYFUNCTION("""COMPUTED_VALUE"""),"Ленточка для бейджа с печатью логотипа, крепление ретрактор.")</f>
        <v>Ленточка для бейджа с печатью логотипа, крепление ретрактор.</v>
      </c>
      <c r="C60" s="21" t="str">
        <f>IFERROR(__xludf.DUMMYFUNCTION("""COMPUTED_VALUE"""),"-------")</f>
        <v>-------</v>
      </c>
      <c r="D60" s="21">
        <f>IFERROR(__xludf.DUMMYFUNCTION("""COMPUTED_VALUE"""),140.0)</f>
        <v>140</v>
      </c>
      <c r="E60" s="21">
        <f>IFERROR(__xludf.DUMMYFUNCTION("""COMPUTED_VALUE"""),135.0)</f>
        <v>135</v>
      </c>
      <c r="F60" s="21">
        <f>IFERROR(__xludf.DUMMYFUNCTION("""COMPUTED_VALUE"""),130.0)</f>
        <v>130</v>
      </c>
      <c r="G60" s="21">
        <f>IFERROR(__xludf.DUMMYFUNCTION("""COMPUTED_VALUE"""),115.0)</f>
        <v>115</v>
      </c>
      <c r="H60" s="7"/>
    </row>
    <row r="61">
      <c r="A61" s="59" t="str">
        <f>IFERROR(__xludf.DUMMYFUNCTION("""COMPUTED_VALUE"""),"Опции (дополнительное крепление)")</f>
        <v>Опции (дополнительное крепление)</v>
      </c>
      <c r="B61" s="14"/>
      <c r="C61" s="16" t="str">
        <f>IFERROR(__xludf.DUMMYFUNCTION("""COMPUTED_VALUE"""),"50 шт")</f>
        <v>50 шт</v>
      </c>
      <c r="D61" s="16" t="str">
        <f>IFERROR(__xludf.DUMMYFUNCTION("""COMPUTED_VALUE"""),"100 шт")</f>
        <v>100 шт</v>
      </c>
      <c r="E61" s="16" t="str">
        <f>IFERROR(__xludf.DUMMYFUNCTION("""COMPUTED_VALUE"""),"200 шт")</f>
        <v>200 шт</v>
      </c>
      <c r="F61" s="16" t="str">
        <f>IFERROR(__xludf.DUMMYFUNCTION("""COMPUTED_VALUE"""),"300 шт")</f>
        <v>300 шт</v>
      </c>
      <c r="G61" s="16" t="str">
        <f>IFERROR(__xludf.DUMMYFUNCTION("""COMPUTED_VALUE"""),"500 шт")</f>
        <v>500 шт</v>
      </c>
      <c r="H61" s="7"/>
    </row>
    <row r="62">
      <c r="A62" s="64" t="str">
        <f>IFERROR(__xludf.DUMMYFUNCTION("""COMPUTED_VALUE"""),"")</f>
        <v/>
      </c>
      <c r="B62" s="64" t="str">
        <f>IFERROR(__xludf.DUMMYFUNCTION("""COMPUTED_VALUE"""),"Карабин-люкс")</f>
        <v>Карабин-люкс</v>
      </c>
      <c r="C62" s="66">
        <f>IFERROR(__xludf.DUMMYFUNCTION("""COMPUTED_VALUE"""),10.0)</f>
        <v>10</v>
      </c>
      <c r="D62" s="5" t="str">
        <f>IFERROR(__xludf.DUMMYFUNCTION("""COMPUTED_VALUE"""),"")</f>
        <v/>
      </c>
      <c r="E62" s="5" t="str">
        <f>IFERROR(__xludf.DUMMYFUNCTION("""COMPUTED_VALUE"""),"")</f>
        <v/>
      </c>
      <c r="F62" s="5" t="str">
        <f>IFERROR(__xludf.DUMMYFUNCTION("""COMPUTED_VALUE"""),"")</f>
        <v/>
      </c>
      <c r="G62" s="5" t="str">
        <f>IFERROR(__xludf.DUMMYFUNCTION("""COMPUTED_VALUE"""),"")</f>
        <v/>
      </c>
      <c r="H62" s="7"/>
    </row>
    <row r="63">
      <c r="A63" s="64" t="str">
        <f>IFERROR(__xludf.DUMMYFUNCTION("""COMPUTED_VALUE"""),"")</f>
        <v/>
      </c>
      <c r="B63" s="64" t="str">
        <f>IFERROR(__xludf.DUMMYFUNCTION("""COMPUTED_VALUE"""),"Карабин-клешня")</f>
        <v>Карабин-клешня</v>
      </c>
      <c r="C63" s="66">
        <f>IFERROR(__xludf.DUMMYFUNCTION("""COMPUTED_VALUE"""),15.0)</f>
        <v>15</v>
      </c>
      <c r="D63" s="5" t="str">
        <f>IFERROR(__xludf.DUMMYFUNCTION("""COMPUTED_VALUE"""),"")</f>
        <v/>
      </c>
      <c r="E63" s="5" t="str">
        <f>IFERROR(__xludf.DUMMYFUNCTION("""COMPUTED_VALUE"""),"")</f>
        <v/>
      </c>
      <c r="F63" s="5" t="str">
        <f>IFERROR(__xludf.DUMMYFUNCTION("""COMPUTED_VALUE"""),"")</f>
        <v/>
      </c>
      <c r="G63" s="5" t="str">
        <f>IFERROR(__xludf.DUMMYFUNCTION("""COMPUTED_VALUE"""),"")</f>
        <v/>
      </c>
      <c r="H63" s="7"/>
    </row>
    <row r="64">
      <c r="A64" s="64" t="str">
        <f>IFERROR(__xludf.DUMMYFUNCTION("""COMPUTED_VALUE"""),"")</f>
        <v/>
      </c>
      <c r="B64" s="64" t="str">
        <f>IFERROR(__xludf.DUMMYFUNCTION("""COMPUTED_VALUE"""),"Карабин обычный, клипса, фастекс")</f>
        <v>Карабин обычный, клипса, фастекс</v>
      </c>
      <c r="C64" s="66">
        <f>IFERROR(__xludf.DUMMYFUNCTION("""COMPUTED_VALUE"""),8.0)</f>
        <v>8</v>
      </c>
      <c r="D64" s="5" t="str">
        <f>IFERROR(__xludf.DUMMYFUNCTION("""COMPUTED_VALUE"""),"")</f>
        <v/>
      </c>
      <c r="E64" s="5" t="str">
        <f>IFERROR(__xludf.DUMMYFUNCTION("""COMPUTED_VALUE"""),"")</f>
        <v/>
      </c>
      <c r="F64" s="5" t="str">
        <f>IFERROR(__xludf.DUMMYFUNCTION("""COMPUTED_VALUE"""),"")</f>
        <v/>
      </c>
      <c r="G64" s="5" t="str">
        <f>IFERROR(__xludf.DUMMYFUNCTION("""COMPUTED_VALUE"""),"")</f>
        <v/>
      </c>
      <c r="H64" s="7"/>
    </row>
    <row r="65">
      <c r="A65" s="64" t="str">
        <f>IFERROR(__xludf.DUMMYFUNCTION("""COMPUTED_VALUE"""),"")</f>
        <v/>
      </c>
      <c r="B65" s="64" t="str">
        <f>IFERROR(__xludf.DUMMYFUNCTION("""COMPUTED_VALUE"""),"Кольцо, регулятор длины, петля для мобильного")</f>
        <v>Кольцо, регулятор длины, петля для мобильного</v>
      </c>
      <c r="C65" s="66">
        <f>IFERROR(__xludf.DUMMYFUNCTION("""COMPUTED_VALUE"""),7.0)</f>
        <v>7</v>
      </c>
      <c r="D65" s="5" t="str">
        <f>IFERROR(__xludf.DUMMYFUNCTION("""COMPUTED_VALUE"""),"")</f>
        <v/>
      </c>
      <c r="E65" s="5" t="str">
        <f>IFERROR(__xludf.DUMMYFUNCTION("""COMPUTED_VALUE"""),"")</f>
        <v/>
      </c>
      <c r="F65" s="5" t="str">
        <f>IFERROR(__xludf.DUMMYFUNCTION("""COMPUTED_VALUE"""),"")</f>
        <v/>
      </c>
      <c r="G65" s="5" t="str">
        <f>IFERROR(__xludf.DUMMYFUNCTION("""COMPUTED_VALUE"""),"")</f>
        <v/>
      </c>
      <c r="H65" s="7"/>
    </row>
    <row r="66">
      <c r="A66" s="64" t="str">
        <f>IFERROR(__xludf.DUMMYFUNCTION("""COMPUTED_VALUE"""),"")</f>
        <v/>
      </c>
      <c r="B66" s="64" t="str">
        <f>IFERROR(__xludf.DUMMYFUNCTION("""COMPUTED_VALUE"""),"Замок безопасного разрыва, межуровневый замок")</f>
        <v>Замок безопасного разрыва, межуровневый замок</v>
      </c>
      <c r="C66" s="66">
        <f>IFERROR(__xludf.DUMMYFUNCTION("""COMPUTED_VALUE"""),10.0)</f>
        <v>10</v>
      </c>
      <c r="D66" s="5" t="str">
        <f>IFERROR(__xludf.DUMMYFUNCTION("""COMPUTED_VALUE"""),"")</f>
        <v/>
      </c>
      <c r="E66" s="5" t="str">
        <f>IFERROR(__xludf.DUMMYFUNCTION("""COMPUTED_VALUE"""),"")</f>
        <v/>
      </c>
      <c r="F66" s="5" t="str">
        <f>IFERROR(__xludf.DUMMYFUNCTION("""COMPUTED_VALUE"""),"")</f>
        <v/>
      </c>
      <c r="G66" s="5" t="str">
        <f>IFERROR(__xludf.DUMMYFUNCTION("""COMPUTED_VALUE"""),"")</f>
        <v/>
      </c>
      <c r="H66" s="7"/>
    </row>
    <row r="67">
      <c r="A67" s="64" t="str">
        <f>IFERROR(__xludf.DUMMYFUNCTION("""COMPUTED_VALUE"""),"HCLPG - 30")</f>
        <v>HCLPG - 30</v>
      </c>
      <c r="B67" s="64" t="str">
        <f>IFERROR(__xludf.DUMMYFUNCTION("""COMPUTED_VALUE"""),"Gripper 30, Держатель для бесконтактных карт.")</f>
        <v>Gripper 30, Держатель для бесконтактных карт.</v>
      </c>
      <c r="C67" s="66">
        <f>IFERROR(__xludf.DUMMYFUNCTION("""COMPUTED_VALUE"""),20.0)</f>
        <v>20</v>
      </c>
      <c r="D67" s="5" t="str">
        <f>IFERROR(__xludf.DUMMYFUNCTION("""COMPUTED_VALUE"""),"")</f>
        <v/>
      </c>
      <c r="E67" s="5" t="str">
        <f>IFERROR(__xludf.DUMMYFUNCTION("""COMPUTED_VALUE"""),"")</f>
        <v/>
      </c>
      <c r="F67" s="5" t="str">
        <f>IFERROR(__xludf.DUMMYFUNCTION("""COMPUTED_VALUE"""),"")</f>
        <v/>
      </c>
      <c r="G67" s="5" t="str">
        <f>IFERROR(__xludf.DUMMYFUNCTION("""COMPUTED_VALUE"""),"")</f>
        <v/>
      </c>
      <c r="H67" s="7"/>
    </row>
    <row r="68" ht="27.0" customHeight="1">
      <c r="A68" s="70" t="str">
        <f>IFERROR(__xludf.DUMMYFUNCTION("""COMPUTED_VALUE"""),"Атласная лента с печатью")</f>
        <v>Атласная лента с печатью</v>
      </c>
      <c r="H68" s="7"/>
    </row>
    <row r="69">
      <c r="A69" s="12" t="str">
        <f>IFERROR(__xludf.DUMMYFUNCTION("""COMPUTED_VALUE"""),"Тиснение")</f>
        <v>Тиснение</v>
      </c>
      <c r="B69" s="14"/>
      <c r="C69" s="16" t="str">
        <f>IFERROR(__xludf.DUMMYFUNCTION("""COMPUTED_VALUE"""),"50 шт")</f>
        <v>50 шт</v>
      </c>
      <c r="D69" s="16" t="str">
        <f>IFERROR(__xludf.DUMMYFUNCTION("""COMPUTED_VALUE"""),"100 шт")</f>
        <v>100 шт</v>
      </c>
      <c r="E69" s="16" t="str">
        <f>IFERROR(__xludf.DUMMYFUNCTION("""COMPUTED_VALUE"""),"200 шт")</f>
        <v>200 шт</v>
      </c>
      <c r="F69" s="16" t="str">
        <f>IFERROR(__xludf.DUMMYFUNCTION("""COMPUTED_VALUE"""),"300 шт")</f>
        <v>300 шт</v>
      </c>
      <c r="G69" s="16" t="str">
        <f>IFERROR(__xludf.DUMMYFUNCTION("""COMPUTED_VALUE"""),"500 шт")</f>
        <v>500 шт</v>
      </c>
      <c r="H69" s="7"/>
    </row>
    <row r="70">
      <c r="A70" s="19" t="str">
        <f>IFERROR(__xludf.DUMMYFUNCTION("""COMPUTED_VALUE"""),"Т15-1")</f>
        <v>Т15-1</v>
      </c>
      <c r="B70" s="19" t="str">
        <f>IFERROR(__xludf.DUMMYFUNCTION("""COMPUTED_VALUE"""),"Лента с односторонней печатью, ширина 15 мм.")</f>
        <v>Лента с односторонней печатью, ширина 15 мм.</v>
      </c>
      <c r="C70" s="21" t="str">
        <f>IFERROR(__xludf.DUMMYFUNCTION("""COMPUTED_VALUE"""),"--------")</f>
        <v>--------</v>
      </c>
      <c r="D70" s="21">
        <f>IFERROR(__xludf.DUMMYFUNCTION("""COMPUTED_VALUE"""),34.0)</f>
        <v>34</v>
      </c>
      <c r="E70" s="21">
        <f>IFERROR(__xludf.DUMMYFUNCTION("""COMPUTED_VALUE"""),32.0)</f>
        <v>32</v>
      </c>
      <c r="F70" s="21">
        <f>IFERROR(__xludf.DUMMYFUNCTION("""COMPUTED_VALUE"""),28.0)</f>
        <v>28</v>
      </c>
      <c r="G70" s="21">
        <f>IFERROR(__xludf.DUMMYFUNCTION("""COMPUTED_VALUE"""),26.0)</f>
        <v>26</v>
      </c>
      <c r="H70" s="7"/>
    </row>
    <row r="71">
      <c r="A71" s="19" t="str">
        <f>IFERROR(__xludf.DUMMYFUNCTION("""COMPUTED_VALUE"""),"Т25-1")</f>
        <v>Т25-1</v>
      </c>
      <c r="B71" s="19" t="str">
        <f>IFERROR(__xludf.DUMMYFUNCTION("""COMPUTED_VALUE"""),"Лента с односторонней печатью, ширина 25 мм.")</f>
        <v>Лента с односторонней печатью, ширина 25 мм.</v>
      </c>
      <c r="C71" s="21" t="str">
        <f>IFERROR(__xludf.DUMMYFUNCTION("""COMPUTED_VALUE"""),"--------")</f>
        <v>--------</v>
      </c>
      <c r="D71" s="21">
        <f>IFERROR(__xludf.DUMMYFUNCTION("""COMPUTED_VALUE"""),36.0)</f>
        <v>36</v>
      </c>
      <c r="E71" s="21">
        <f>IFERROR(__xludf.DUMMYFUNCTION("""COMPUTED_VALUE"""),35.0)</f>
        <v>35</v>
      </c>
      <c r="F71" s="21">
        <f>IFERROR(__xludf.DUMMYFUNCTION("""COMPUTED_VALUE"""),32.0)</f>
        <v>32</v>
      </c>
      <c r="G71" s="21">
        <f>IFERROR(__xludf.DUMMYFUNCTION("""COMPUTED_VALUE"""),29.0)</f>
        <v>29</v>
      </c>
      <c r="H71" s="7"/>
    </row>
    <row r="72">
      <c r="A72" s="19" t="str">
        <f>IFERROR(__xludf.DUMMYFUNCTION("""COMPUTED_VALUE"""),"Т50-1")</f>
        <v>Т50-1</v>
      </c>
      <c r="B72" s="19" t="str">
        <f>IFERROR(__xludf.DUMMYFUNCTION("""COMPUTED_VALUE"""),"Лента с односторонней печатью, ширина 50 мм.")</f>
        <v>Лента с односторонней печатью, ширина 50 мм.</v>
      </c>
      <c r="C72" s="21" t="str">
        <f>IFERROR(__xludf.DUMMYFUNCTION("""COMPUTED_VALUE"""),"--------")</f>
        <v>--------</v>
      </c>
      <c r="D72" s="21">
        <f>IFERROR(__xludf.DUMMYFUNCTION("""COMPUTED_VALUE"""),40.0)</f>
        <v>40</v>
      </c>
      <c r="E72" s="21">
        <f>IFERROR(__xludf.DUMMYFUNCTION("""COMPUTED_VALUE"""),38.0)</f>
        <v>38</v>
      </c>
      <c r="F72" s="21">
        <f>IFERROR(__xludf.DUMMYFUNCTION("""COMPUTED_VALUE"""),35.0)</f>
        <v>35</v>
      </c>
      <c r="G72" s="21">
        <f>IFERROR(__xludf.DUMMYFUNCTION("""COMPUTED_VALUE"""),33.0)</f>
        <v>33</v>
      </c>
      <c r="H72" s="7"/>
    </row>
    <row r="73">
      <c r="A73" s="12" t="str">
        <f>IFERROR(__xludf.DUMMYFUNCTION("""COMPUTED_VALUE"""),"Шелкография")</f>
        <v>Шелкография</v>
      </c>
      <c r="B73" s="14"/>
      <c r="C73" s="71" t="str">
        <f>IFERROR(__xludf.DUMMYFUNCTION("""COMPUTED_VALUE"""),"50 шт")</f>
        <v>50 шт</v>
      </c>
      <c r="D73" s="71" t="str">
        <f>IFERROR(__xludf.DUMMYFUNCTION("""COMPUTED_VALUE"""),"100 шт")</f>
        <v>100 шт</v>
      </c>
      <c r="E73" s="71" t="str">
        <f>IFERROR(__xludf.DUMMYFUNCTION("""COMPUTED_VALUE"""),"200 шт")</f>
        <v>200 шт</v>
      </c>
      <c r="F73" s="71" t="str">
        <f>IFERROR(__xludf.DUMMYFUNCTION("""COMPUTED_VALUE"""),"300 шт")</f>
        <v>300 шт</v>
      </c>
      <c r="G73" s="71" t="str">
        <f>IFERROR(__xludf.DUMMYFUNCTION("""COMPUTED_VALUE"""),"500 шт")</f>
        <v>500 шт</v>
      </c>
      <c r="H73" s="7"/>
    </row>
    <row r="74">
      <c r="A74" s="19" t="str">
        <f>IFERROR(__xludf.DUMMYFUNCTION("""COMPUTED_VALUE"""),"Ш12-1")</f>
        <v>Ш12-1</v>
      </c>
      <c r="B74" s="19" t="str">
        <f>IFERROR(__xludf.DUMMYFUNCTION("""COMPUTED_VALUE"""),"Лента с одноцветной печатью, ширина 12 мм.")</f>
        <v>Лента с одноцветной печатью, ширина 12 мм.</v>
      </c>
      <c r="C74" s="21" t="str">
        <f>IFERROR(__xludf.DUMMYFUNCTION("""COMPUTED_VALUE"""),"--------")</f>
        <v>--------</v>
      </c>
      <c r="D74" s="21" t="str">
        <f>IFERROR(__xludf.DUMMYFUNCTION("""COMPUTED_VALUE"""),"--------")</f>
        <v>--------</v>
      </c>
      <c r="E74" s="21" t="str">
        <f>IFERROR(__xludf.DUMMYFUNCTION("""COMPUTED_VALUE"""),"--------")</f>
        <v>--------</v>
      </c>
      <c r="F74" s="21">
        <f>IFERROR(__xludf.DUMMYFUNCTION("""COMPUTED_VALUE"""),37.0)</f>
        <v>37</v>
      </c>
      <c r="G74" s="21">
        <f>IFERROR(__xludf.DUMMYFUNCTION("""COMPUTED_VALUE"""),32.0)</f>
        <v>32</v>
      </c>
      <c r="H74" s="7"/>
    </row>
    <row r="75">
      <c r="A75" s="19" t="str">
        <f>IFERROR(__xludf.DUMMYFUNCTION("""COMPUTED_VALUE"""),"Ш25-1")</f>
        <v>Ш25-1</v>
      </c>
      <c r="B75" s="19" t="str">
        <f>IFERROR(__xludf.DUMMYFUNCTION("""COMPUTED_VALUE"""),"Лента с одноцветной печатью, ширина 25 мм.")</f>
        <v>Лента с одноцветной печатью, ширина 25 мм.</v>
      </c>
      <c r="C75" s="21" t="str">
        <f>IFERROR(__xludf.DUMMYFUNCTION("""COMPUTED_VALUE"""),"--------")</f>
        <v>--------</v>
      </c>
      <c r="D75" s="21" t="str">
        <f>IFERROR(__xludf.DUMMYFUNCTION("""COMPUTED_VALUE"""),"--------")</f>
        <v>--------</v>
      </c>
      <c r="E75" s="21" t="str">
        <f>IFERROR(__xludf.DUMMYFUNCTION("""COMPUTED_VALUE"""),"--------")</f>
        <v>--------</v>
      </c>
      <c r="F75" s="21">
        <f>IFERROR(__xludf.DUMMYFUNCTION("""COMPUTED_VALUE"""),40.0)</f>
        <v>40</v>
      </c>
      <c r="G75" s="21">
        <f>IFERROR(__xludf.DUMMYFUNCTION("""COMPUTED_VALUE"""),35.0)</f>
        <v>35</v>
      </c>
      <c r="H75" s="7"/>
    </row>
    <row r="76">
      <c r="A76" s="19" t="str">
        <f>IFERROR(__xludf.DUMMYFUNCTION("""COMPUTED_VALUE"""),"Ш50-1")</f>
        <v>Ш50-1</v>
      </c>
      <c r="B76" s="19" t="str">
        <f>IFERROR(__xludf.DUMMYFUNCTION("""COMPUTED_VALUE"""),"Лента с одноцветной печатью, ширина 50 мм.")</f>
        <v>Лента с одноцветной печатью, ширина 50 мм.</v>
      </c>
      <c r="C76" s="21" t="str">
        <f>IFERROR(__xludf.DUMMYFUNCTION("""COMPUTED_VALUE"""),"--------")</f>
        <v>--------</v>
      </c>
      <c r="D76" s="21" t="str">
        <f>IFERROR(__xludf.DUMMYFUNCTION("""COMPUTED_VALUE"""),"--------")</f>
        <v>--------</v>
      </c>
      <c r="E76" s="21" t="str">
        <f>IFERROR(__xludf.DUMMYFUNCTION("""COMPUTED_VALUE"""),"--------")</f>
        <v>--------</v>
      </c>
      <c r="F76" s="21">
        <f>IFERROR(__xludf.DUMMYFUNCTION("""COMPUTED_VALUE"""),43.0)</f>
        <v>43</v>
      </c>
      <c r="G76" s="21">
        <f>IFERROR(__xludf.DUMMYFUNCTION("""COMPUTED_VALUE"""),38.0)</f>
        <v>38</v>
      </c>
      <c r="H76" s="7"/>
    </row>
    <row r="77">
      <c r="A77" s="72" t="str">
        <f>IFERROR(__xludf.DUMMYFUNCTION("""COMPUTED_VALUE"""),"Цепочки")</f>
        <v>Цепочки</v>
      </c>
      <c r="H77" s="7"/>
    </row>
    <row r="78">
      <c r="A78" s="12" t="str">
        <f>IFERROR(__xludf.DUMMYFUNCTION("""COMPUTED_VALUE"""),"Цепочки")</f>
        <v>Цепочки</v>
      </c>
      <c r="B78" s="14"/>
      <c r="C78" s="16" t="str">
        <f>IFERROR(__xludf.DUMMYFUNCTION("""COMPUTED_VALUE"""),"50 шт")</f>
        <v>50 шт</v>
      </c>
      <c r="D78" s="16" t="str">
        <f>IFERROR(__xludf.DUMMYFUNCTION("""COMPUTED_VALUE"""),"100 шт")</f>
        <v>100 шт</v>
      </c>
      <c r="E78" s="16" t="str">
        <f>IFERROR(__xludf.DUMMYFUNCTION("""COMPUTED_VALUE"""),"200 шт")</f>
        <v>200 шт</v>
      </c>
      <c r="F78" s="16" t="str">
        <f>IFERROR(__xludf.DUMMYFUNCTION("""COMPUTED_VALUE"""),"300 шт")</f>
        <v>300 шт</v>
      </c>
      <c r="G78" s="16" t="str">
        <f>IFERROR(__xludf.DUMMYFUNCTION("""COMPUTED_VALUE"""),"500 шт")</f>
        <v>500 шт</v>
      </c>
      <c r="H78" s="7"/>
    </row>
    <row r="79">
      <c r="A79" s="19" t="str">
        <f>IFERROR(__xludf.DUMMYFUNCTION("""COMPUTED_VALUE"""),"ССС-12")</f>
        <v>ССС-12</v>
      </c>
      <c r="B79" s="19" t="str">
        <f>IFERROR(__xludf.DUMMYFUNCTION("""COMPUTED_VALUE"""),"Цепочка металлическая с замком, длина 12 см")</f>
        <v>Цепочка металлическая с замком, длина 12 см</v>
      </c>
      <c r="C79" s="21" t="str">
        <f>IFERROR(__xludf.DUMMYFUNCTION("""COMPUTED_VALUE"""),"-")</f>
        <v>-</v>
      </c>
      <c r="D79" s="21">
        <f>IFERROR(__xludf.DUMMYFUNCTION("""COMPUTED_VALUE"""),9.0)</f>
        <v>9</v>
      </c>
      <c r="E79" s="21">
        <f>IFERROR(__xludf.DUMMYFUNCTION("""COMPUTED_VALUE"""),9.0)</f>
        <v>9</v>
      </c>
      <c r="F79" s="21">
        <f>IFERROR(__xludf.DUMMYFUNCTION("""COMPUTED_VALUE"""),9.0)</f>
        <v>9</v>
      </c>
      <c r="G79" s="21">
        <f>IFERROR(__xludf.DUMMYFUNCTION("""COMPUTED_VALUE"""),8.0)</f>
        <v>8</v>
      </c>
      <c r="H79" s="7"/>
    </row>
    <row r="80">
      <c r="A80" s="19" t="str">
        <f>IFERROR(__xludf.DUMMYFUNCTION("""COMPUTED_VALUE"""),"ССС-15")</f>
        <v>ССС-15</v>
      </c>
      <c r="B80" s="19" t="str">
        <f>IFERROR(__xludf.DUMMYFUNCTION("""COMPUTED_VALUE"""),"Цепочка металлическая с замком, длина 15 см")</f>
        <v>Цепочка металлическая с замком, длина 15 см</v>
      </c>
      <c r="C80" s="21" t="str">
        <f>IFERROR(__xludf.DUMMYFUNCTION("""COMPUTED_VALUE"""),"-")</f>
        <v>-</v>
      </c>
      <c r="D80" s="21">
        <f>IFERROR(__xludf.DUMMYFUNCTION("""COMPUTED_VALUE"""),10.0)</f>
        <v>10</v>
      </c>
      <c r="E80" s="21">
        <f>IFERROR(__xludf.DUMMYFUNCTION("""COMPUTED_VALUE"""),10.0)</f>
        <v>10</v>
      </c>
      <c r="F80" s="21">
        <f>IFERROR(__xludf.DUMMYFUNCTION("""COMPUTED_VALUE"""),10.0)</f>
        <v>10</v>
      </c>
      <c r="G80" s="21">
        <f>IFERROR(__xludf.DUMMYFUNCTION("""COMPUTED_VALUE"""),9.0)</f>
        <v>9</v>
      </c>
      <c r="H80" s="7"/>
    </row>
    <row r="81">
      <c r="A81" s="19" t="str">
        <f>IFERROR(__xludf.DUMMYFUNCTION("""COMPUTED_VALUE"""),"ССС-80")</f>
        <v>ССС-80</v>
      </c>
      <c r="B81" s="19" t="str">
        <f>IFERROR(__xludf.DUMMYFUNCTION("""COMPUTED_VALUE"""),"Цепочка металлическая с замком, длина 80 см")</f>
        <v>Цепочка металлическая с замком, длина 80 см</v>
      </c>
      <c r="C81" s="21" t="str">
        <f>IFERROR(__xludf.DUMMYFUNCTION("""COMPUTED_VALUE"""),"-")</f>
        <v>-</v>
      </c>
      <c r="D81" s="21">
        <f>IFERROR(__xludf.DUMMYFUNCTION("""COMPUTED_VALUE"""),24.0)</f>
        <v>24</v>
      </c>
      <c r="E81" s="21">
        <f>IFERROR(__xludf.DUMMYFUNCTION("""COMPUTED_VALUE"""),24.0)</f>
        <v>24</v>
      </c>
      <c r="F81" s="21">
        <f>IFERROR(__xludf.DUMMYFUNCTION("""COMPUTED_VALUE"""),24.0)</f>
        <v>24</v>
      </c>
      <c r="G81" s="21">
        <f>IFERROR(__xludf.DUMMYFUNCTION("""COMPUTED_VALUE"""),23.0)</f>
        <v>23</v>
      </c>
      <c r="H81" s="7"/>
    </row>
    <row r="82">
      <c r="A82" s="19" t="str">
        <f>IFERROR(__xludf.DUMMYFUNCTION("""COMPUTED_VALUE"""),"ССС-90")</f>
        <v>ССС-90</v>
      </c>
      <c r="B82" s="19" t="str">
        <f>IFERROR(__xludf.DUMMYFUNCTION("""COMPUTED_VALUE"""),"Цепочка металлическая с замком, длина 90 см")</f>
        <v>Цепочка металлическая с замком, длина 90 см</v>
      </c>
      <c r="C82" s="21" t="str">
        <f>IFERROR(__xludf.DUMMYFUNCTION("""COMPUTED_VALUE"""),"-")</f>
        <v>-</v>
      </c>
      <c r="D82" s="21">
        <f>IFERROR(__xludf.DUMMYFUNCTION("""COMPUTED_VALUE"""),28.0)</f>
        <v>28</v>
      </c>
      <c r="E82" s="21">
        <f>IFERROR(__xludf.DUMMYFUNCTION("""COMPUTED_VALUE"""),28.0)</f>
        <v>28</v>
      </c>
      <c r="F82" s="21">
        <f>IFERROR(__xludf.DUMMYFUNCTION("""COMPUTED_VALUE"""),28.0)</f>
        <v>28</v>
      </c>
      <c r="G82" s="21">
        <f>IFERROR(__xludf.DUMMYFUNCTION("""COMPUTED_VALUE"""),26.0)</f>
        <v>26</v>
      </c>
      <c r="H82" s="7"/>
    </row>
    <row r="83">
      <c r="A83" s="80" t="str">
        <f>IFERROR(__xludf.DUMMYFUNCTION("IMPORTRANGE(""1cKkmyXVBwTBPe5BYRPLGS6yWh_CqTr9MZdmyYnhOZTA"", ""Карманы для Бейджей!A1:h51"")"),"")</f>
        <v/>
      </c>
      <c r="B83" t="str">
        <f>IFERROR(__xludf.DUMMYFUNCTION("""COMPUTED_VALUE"""),"")</f>
        <v/>
      </c>
      <c r="C83" s="5" t="str">
        <f>IFERROR(__xludf.DUMMYFUNCTION("""COMPUTED_VALUE"""),"")</f>
        <v/>
      </c>
      <c r="D83" s="5" t="str">
        <f>IFERROR(__xludf.DUMMYFUNCTION("""COMPUTED_VALUE"""),"")</f>
        <v/>
      </c>
      <c r="E83" s="5" t="str">
        <f>IFERROR(__xludf.DUMMYFUNCTION("""COMPUTED_VALUE"""),"")</f>
        <v/>
      </c>
      <c r="F83" s="5" t="str">
        <f>IFERROR(__xludf.DUMMYFUNCTION("""COMPUTED_VALUE"""),"")</f>
        <v/>
      </c>
      <c r="G83" s="5" t="str">
        <f>IFERROR(__xludf.DUMMYFUNCTION("""COMPUTED_VALUE"""),"")</f>
        <v/>
      </c>
      <c r="H83" s="7" t="str">
        <f>IFERROR(__xludf.DUMMYFUNCTION("""COMPUTED_VALUE"""),"")</f>
        <v/>
      </c>
    </row>
    <row r="84">
      <c r="A84" s="12" t="str">
        <f>IFERROR(__xludf.DUMMYFUNCTION("""COMPUTED_VALUE"""),"Карман для проксимити карты")</f>
        <v>Карман для проксимити карты</v>
      </c>
      <c r="B84" s="14"/>
      <c r="C84" s="16" t="str">
        <f>IFERROR(__xludf.DUMMYFUNCTION("""COMPUTED_VALUE"""),"50 шт")</f>
        <v>50 шт</v>
      </c>
      <c r="D84" s="16" t="str">
        <f>IFERROR(__xludf.DUMMYFUNCTION("""COMPUTED_VALUE"""),"100 шт")</f>
        <v>100 шт</v>
      </c>
      <c r="E84" s="16" t="str">
        <f>IFERROR(__xludf.DUMMYFUNCTION("""COMPUTED_VALUE"""),"200 шт")</f>
        <v>200 шт</v>
      </c>
      <c r="F84" s="16" t="str">
        <f>IFERROR(__xludf.DUMMYFUNCTION("""COMPUTED_VALUE"""),"300 шт")</f>
        <v>300 шт</v>
      </c>
      <c r="G84" s="16" t="str">
        <f>IFERROR(__xludf.DUMMYFUNCTION("""COMPUTED_VALUE"""),"500 шт")</f>
        <v>500 шт</v>
      </c>
      <c r="H84" s="16" t="str">
        <f>IFERROR(__xludf.DUMMYFUNCTION("""COMPUTED_VALUE"""),"1000 шт")</f>
        <v>1000 шт</v>
      </c>
    </row>
    <row r="85">
      <c r="A85" s="19" t="str">
        <f>IFERROR(__xludf.DUMMYFUNCTION("""COMPUTED_VALUE"""),"")</f>
        <v/>
      </c>
      <c r="B85" s="19" t="str">
        <f>IFERROR(__xludf.DUMMYFUNCTION("""COMPUTED_VALUE"""),"")</f>
        <v/>
      </c>
      <c r="C85" s="21" t="str">
        <f>IFERROR(__xludf.DUMMYFUNCTION("""COMPUTED_VALUE"""),"")</f>
        <v/>
      </c>
      <c r="D85" s="21" t="str">
        <f>IFERROR(__xludf.DUMMYFUNCTION("""COMPUTED_VALUE"""),"")</f>
        <v/>
      </c>
      <c r="E85" s="21" t="str">
        <f>IFERROR(__xludf.DUMMYFUNCTION("""COMPUTED_VALUE"""),"")</f>
        <v/>
      </c>
      <c r="F85" s="21" t="str">
        <f>IFERROR(__xludf.DUMMYFUNCTION("""COMPUTED_VALUE"""),"")</f>
        <v/>
      </c>
      <c r="G85" s="21" t="str">
        <f>IFERROR(__xludf.DUMMYFUNCTION("""COMPUTED_VALUE"""),"")</f>
        <v/>
      </c>
      <c r="H85" s="82" t="str">
        <f>IFERROR(__xludf.DUMMYFUNCTION("""COMPUTED_VALUE"""),"")</f>
        <v/>
      </c>
    </row>
    <row r="86">
      <c r="A86" s="19" t="str">
        <f>IFERROR(__xludf.DUMMYFUNCTION("""COMPUTED_VALUE"""),"К-1HProx, K-3VProx")</f>
        <v>К-1HProx, K-3VProx</v>
      </c>
      <c r="B86" s="19" t="str">
        <f>IFERROR(__xludf.DUMMYFUNCTION("""COMPUTED_VALUE"""),"Карман горизонтальный, вертикальный для проксимити карты, толщина винила 300/750мкм")</f>
        <v>Карман горизонтальный, вертикальный для проксимити карты, толщина винила 300/750мкм</v>
      </c>
      <c r="C86" s="21">
        <f>IFERROR(__xludf.DUMMYFUNCTION("""COMPUTED_VALUE"""),23.0)</f>
        <v>23</v>
      </c>
      <c r="D86" s="21">
        <f>IFERROR(__xludf.DUMMYFUNCTION("""COMPUTED_VALUE"""),23.0)</f>
        <v>23</v>
      </c>
      <c r="E86" s="21">
        <f>IFERROR(__xludf.DUMMYFUNCTION("""COMPUTED_VALUE"""),23.0)</f>
        <v>23</v>
      </c>
      <c r="F86" s="21">
        <f>IFERROR(__xludf.DUMMYFUNCTION("""COMPUTED_VALUE"""),23.0)</f>
        <v>23</v>
      </c>
      <c r="G86" s="21">
        <f>IFERROR(__xludf.DUMMYFUNCTION("""COMPUTED_VALUE"""),23.0)</f>
        <v>23</v>
      </c>
      <c r="H86" s="82">
        <f>IFERROR(__xludf.DUMMYFUNCTION("""COMPUTED_VALUE"""),22.0)</f>
        <v>22</v>
      </c>
    </row>
    <row r="87">
      <c r="A87" s="19" t="str">
        <f>IFERROR(__xludf.DUMMYFUNCTION("""COMPUTED_VALUE"""),"КL-3VProx")</f>
        <v>КL-3VProx</v>
      </c>
      <c r="B87" s="19" t="str">
        <f>IFERROR(__xludf.DUMMYFUNCTION("""COMPUTED_VALUE"""),"Карман вертикальный для проксимити карты  (LUX), внутр.размер 61x96мм, толщина винила 500/550 мкм")</f>
        <v>Карман вертикальный для проксимити карты  (LUX), внутр.размер 61x96мм, толщина винила 500/550 мкм</v>
      </c>
      <c r="C87" s="21">
        <f>IFERROR(__xludf.DUMMYFUNCTION("""COMPUTED_VALUE"""),24.0)</f>
        <v>24</v>
      </c>
      <c r="D87" s="21">
        <f>IFERROR(__xludf.DUMMYFUNCTION("""COMPUTED_VALUE"""),24.0)</f>
        <v>24</v>
      </c>
      <c r="E87" s="21">
        <f>IFERROR(__xludf.DUMMYFUNCTION("""COMPUTED_VALUE"""),24.0)</f>
        <v>24</v>
      </c>
      <c r="F87" s="21">
        <f>IFERROR(__xludf.DUMMYFUNCTION("""COMPUTED_VALUE"""),24.0)</f>
        <v>24</v>
      </c>
      <c r="G87" s="21">
        <f>IFERROR(__xludf.DUMMYFUNCTION("""COMPUTED_VALUE"""),24.0)</f>
        <v>24</v>
      </c>
      <c r="H87" s="82">
        <f>IFERROR(__xludf.DUMMYFUNCTION("""COMPUTED_VALUE"""),23.0)</f>
        <v>23</v>
      </c>
    </row>
    <row r="88">
      <c r="A88" s="19" t="str">
        <f>IFERROR(__xludf.DUMMYFUNCTION("""COMPUTED_VALUE"""),"КL-1HProx")</f>
        <v>КL-1HProx</v>
      </c>
      <c r="B88" s="19" t="str">
        <f>IFERROR(__xludf.DUMMYFUNCTION("""COMPUTED_VALUE"""),"Карман горизонтальный для проксимити карты (LUX),внутр.размер 95x64мм, толщина винила 500/550 мкм")</f>
        <v>Карман горизонтальный для проксимити карты (LUX),внутр.размер 95x64мм, толщина винила 500/550 мкм</v>
      </c>
      <c r="C88" s="21">
        <f>IFERROR(__xludf.DUMMYFUNCTION("""COMPUTED_VALUE"""),24.0)</f>
        <v>24</v>
      </c>
      <c r="D88" s="21">
        <f>IFERROR(__xludf.DUMMYFUNCTION("""COMPUTED_VALUE"""),24.0)</f>
        <v>24</v>
      </c>
      <c r="E88" s="21">
        <f>IFERROR(__xludf.DUMMYFUNCTION("""COMPUTED_VALUE"""),24.0)</f>
        <v>24</v>
      </c>
      <c r="F88" s="21">
        <f>IFERROR(__xludf.DUMMYFUNCTION("""COMPUTED_VALUE"""),24.0)</f>
        <v>24</v>
      </c>
      <c r="G88" s="21">
        <f>IFERROR(__xludf.DUMMYFUNCTION("""COMPUTED_VALUE"""),24.0)</f>
        <v>24</v>
      </c>
      <c r="H88" s="82">
        <f>IFERROR(__xludf.DUMMYFUNCTION("""COMPUTED_VALUE"""),23.0)</f>
        <v>23</v>
      </c>
    </row>
    <row r="89">
      <c r="A89" s="19" t="str">
        <f>IFERROR(__xludf.DUMMYFUNCTION("""COMPUTED_VALUE"""),"KS - 3V ISO Prox")</f>
        <v>KS - 3V ISO Prox</v>
      </c>
      <c r="B89" s="19" t="str">
        <f>IFERROR(__xludf.DUMMYFUNCTION("""COMPUTED_VALUE"""),"Карман вертикальный для проксимити карты, внутр.размер 57x90мм, толщина винила 500 мкм")</f>
        <v>Карман вертикальный для проксимити карты, внутр.размер 57x90мм, толщина винила 500 мкм</v>
      </c>
      <c r="C89" s="21">
        <f>IFERROR(__xludf.DUMMYFUNCTION("""COMPUTED_VALUE"""),18.0)</f>
        <v>18</v>
      </c>
      <c r="D89" s="21">
        <f>IFERROR(__xludf.DUMMYFUNCTION("""COMPUTED_VALUE"""),18.0)</f>
        <v>18</v>
      </c>
      <c r="E89" s="21">
        <f>IFERROR(__xludf.DUMMYFUNCTION("""COMPUTED_VALUE"""),18.0)</f>
        <v>18</v>
      </c>
      <c r="F89" s="21">
        <f>IFERROR(__xludf.DUMMYFUNCTION("""COMPUTED_VALUE"""),18.0)</f>
        <v>18</v>
      </c>
      <c r="G89" s="21">
        <f>IFERROR(__xludf.DUMMYFUNCTION("""COMPUTED_VALUE"""),18.0)</f>
        <v>18</v>
      </c>
      <c r="H89" s="82">
        <f>IFERROR(__xludf.DUMMYFUNCTION("""COMPUTED_VALUE"""),17.0)</f>
        <v>17</v>
      </c>
    </row>
    <row r="90">
      <c r="A90" s="19" t="str">
        <f>IFERROR(__xludf.DUMMYFUNCTION("""COMPUTED_VALUE"""),"KS - 1H ISO Prox")</f>
        <v>KS - 1H ISO Prox</v>
      </c>
      <c r="B90" s="19" t="str">
        <f>IFERROR(__xludf.DUMMYFUNCTION("""COMPUTED_VALUE"""),"Карман горизонтальный для проксимити карты, внутр.размер 87x56мм, толщина винила 500 мкм")</f>
        <v>Карман горизонтальный для проксимити карты, внутр.размер 87x56мм, толщина винила 500 мкм</v>
      </c>
      <c r="C90" s="21">
        <f>IFERROR(__xludf.DUMMYFUNCTION("""COMPUTED_VALUE"""),18.0)</f>
        <v>18</v>
      </c>
      <c r="D90" s="21">
        <f>IFERROR(__xludf.DUMMYFUNCTION("""COMPUTED_VALUE"""),18.0)</f>
        <v>18</v>
      </c>
      <c r="E90" s="21">
        <f>IFERROR(__xludf.DUMMYFUNCTION("""COMPUTED_VALUE"""),18.0)</f>
        <v>18</v>
      </c>
      <c r="F90" s="21">
        <f>IFERROR(__xludf.DUMMYFUNCTION("""COMPUTED_VALUE"""),18.0)</f>
        <v>18</v>
      </c>
      <c r="G90" s="21">
        <f>IFERROR(__xludf.DUMMYFUNCTION("""COMPUTED_VALUE"""),18.0)</f>
        <v>18</v>
      </c>
      <c r="H90" s="82">
        <f>IFERROR(__xludf.DUMMYFUNCTION("""COMPUTED_VALUE"""),17.0)</f>
        <v>17</v>
      </c>
    </row>
    <row r="91">
      <c r="A91" s="19" t="str">
        <f>IFERROR(__xludf.DUMMYFUNCTION("""COMPUTED_VALUE"""),"KS - 4V Clamshell Prox")</f>
        <v>KS - 4V Clamshell Prox</v>
      </c>
      <c r="B91" s="19" t="str">
        <f>IFERROR(__xludf.DUMMYFUNCTION("""COMPUTED_VALUE"""),"Карман вертикальный для проксимити карты толщиной 1,6 мм, внутр.размер 57х86мм, толщина винила 500 мкм")</f>
        <v>Карман вертикальный для проксимити карты толщиной 1,6 мм, внутр.размер 57х86мм, толщина винила 500 мкм</v>
      </c>
      <c r="C91" s="21">
        <f>IFERROR(__xludf.DUMMYFUNCTION("""COMPUTED_VALUE"""),18.0)</f>
        <v>18</v>
      </c>
      <c r="D91" s="21">
        <f>IFERROR(__xludf.DUMMYFUNCTION("""COMPUTED_VALUE"""),18.0)</f>
        <v>18</v>
      </c>
      <c r="E91" s="21">
        <f>IFERROR(__xludf.DUMMYFUNCTION("""COMPUTED_VALUE"""),18.0)</f>
        <v>18</v>
      </c>
      <c r="F91" s="21">
        <f>IFERROR(__xludf.DUMMYFUNCTION("""COMPUTED_VALUE"""),18.0)</f>
        <v>18</v>
      </c>
      <c r="G91" s="21">
        <f>IFERROR(__xludf.DUMMYFUNCTION("""COMPUTED_VALUE"""),18.0)</f>
        <v>18</v>
      </c>
      <c r="H91" s="82">
        <f>IFERROR(__xludf.DUMMYFUNCTION("""COMPUTED_VALUE"""),17.0)</f>
        <v>17</v>
      </c>
    </row>
    <row r="92">
      <c r="A92" s="12" t="str">
        <f>IFERROR(__xludf.DUMMYFUNCTION("""COMPUTED_VALUE"""),"Карман классические")</f>
        <v>Карман классические</v>
      </c>
      <c r="B92" s="14"/>
      <c r="C92" s="16" t="str">
        <f>IFERROR(__xludf.DUMMYFUNCTION("""COMPUTED_VALUE"""),"50 шт")</f>
        <v>50 шт</v>
      </c>
      <c r="D92" s="16" t="str">
        <f>IFERROR(__xludf.DUMMYFUNCTION("""COMPUTED_VALUE"""),"100 шт")</f>
        <v>100 шт</v>
      </c>
      <c r="E92" s="16" t="str">
        <f>IFERROR(__xludf.DUMMYFUNCTION("""COMPUTED_VALUE"""),"200 шт")</f>
        <v>200 шт</v>
      </c>
      <c r="F92" s="16" t="str">
        <f>IFERROR(__xludf.DUMMYFUNCTION("""COMPUTED_VALUE"""),"300 шт")</f>
        <v>300 шт</v>
      </c>
      <c r="G92" s="16" t="str">
        <f>IFERROR(__xludf.DUMMYFUNCTION("""COMPUTED_VALUE"""),"500 шт")</f>
        <v>500 шт</v>
      </c>
      <c r="H92" s="16" t="str">
        <f>IFERROR(__xludf.DUMMYFUNCTION("""COMPUTED_VALUE"""),"1000 шт")</f>
        <v>1000 шт</v>
      </c>
    </row>
    <row r="93">
      <c r="A93" s="19" t="str">
        <f>IFERROR(__xludf.DUMMYFUNCTION("""COMPUTED_VALUE"""),"K-1H")</f>
        <v>K-1H</v>
      </c>
      <c r="B93" s="19" t="str">
        <f>IFERROR(__xludf.DUMMYFUNCTION("""COMPUTED_VALUE"""),"Карман стандартного размера,90x60мм, толщина 250 мкм")</f>
        <v>Карман стандартного размера,90x60мм, толщина 250 мкм</v>
      </c>
      <c r="C93" s="21">
        <f>IFERROR(__xludf.DUMMYFUNCTION("""COMPUTED_VALUE"""),12.0)</f>
        <v>12</v>
      </c>
      <c r="D93" s="21">
        <f>IFERROR(__xludf.DUMMYFUNCTION("""COMPUTED_VALUE"""),12.0)</f>
        <v>12</v>
      </c>
      <c r="E93" s="21">
        <f>IFERROR(__xludf.DUMMYFUNCTION("""COMPUTED_VALUE"""),12.0)</f>
        <v>12</v>
      </c>
      <c r="F93" s="21">
        <f>IFERROR(__xludf.DUMMYFUNCTION("""COMPUTED_VALUE"""),12.0)</f>
        <v>12</v>
      </c>
      <c r="G93" s="21">
        <f>IFERROR(__xludf.DUMMYFUNCTION("""COMPUTED_VALUE"""),11.0)</f>
        <v>11</v>
      </c>
      <c r="H93" s="82">
        <f>IFERROR(__xludf.DUMMYFUNCTION("""COMPUTED_VALUE"""),11.0)</f>
        <v>11</v>
      </c>
    </row>
    <row r="94">
      <c r="A94" s="19" t="str">
        <f>IFERROR(__xludf.DUMMYFUNCTION("""COMPUTED_VALUE"""),"K-2H")</f>
        <v>K-2H</v>
      </c>
      <c r="B94" s="19" t="str">
        <f>IFERROR(__xludf.DUMMYFUNCTION("""COMPUTED_VALUE"""),"Карман стандартного размера,100х70мм, толщина 250 мкм")</f>
        <v>Карман стандартного размера,100х70мм, толщина 250 мкм</v>
      </c>
      <c r="C94" s="21">
        <f>IFERROR(__xludf.DUMMYFUNCTION("""COMPUTED_VALUE"""),14.0)</f>
        <v>14</v>
      </c>
      <c r="D94" s="21">
        <f>IFERROR(__xludf.DUMMYFUNCTION("""COMPUTED_VALUE"""),14.0)</f>
        <v>14</v>
      </c>
      <c r="E94" s="21">
        <f>IFERROR(__xludf.DUMMYFUNCTION("""COMPUTED_VALUE"""),14.0)</f>
        <v>14</v>
      </c>
      <c r="F94" s="21">
        <f>IFERROR(__xludf.DUMMYFUNCTION("""COMPUTED_VALUE"""),14.0)</f>
        <v>14</v>
      </c>
      <c r="G94" s="21">
        <f>IFERROR(__xludf.DUMMYFUNCTION("""COMPUTED_VALUE"""),13.0)</f>
        <v>13</v>
      </c>
      <c r="H94" s="82">
        <f>IFERROR(__xludf.DUMMYFUNCTION("""COMPUTED_VALUE"""),13.0)</f>
        <v>13</v>
      </c>
    </row>
    <row r="95">
      <c r="A95" s="19" t="str">
        <f>IFERROR(__xludf.DUMMYFUNCTION("""COMPUTED_VALUE"""),"K-5H")</f>
        <v>K-5H</v>
      </c>
      <c r="B95" s="19" t="str">
        <f>IFERROR(__xludf.DUMMYFUNCTION("""COMPUTED_VALUE"""),"Карман стандартного размера,118x75мм, толщина 250 мкм")</f>
        <v>Карман стандартного размера,118x75мм, толщина 250 мкм</v>
      </c>
      <c r="C95" s="21">
        <f>IFERROR(__xludf.DUMMYFUNCTION("""COMPUTED_VALUE"""),16.0)</f>
        <v>16</v>
      </c>
      <c r="D95" s="21">
        <f>IFERROR(__xludf.DUMMYFUNCTION("""COMPUTED_VALUE"""),16.0)</f>
        <v>16</v>
      </c>
      <c r="E95" s="21">
        <f>IFERROR(__xludf.DUMMYFUNCTION("""COMPUTED_VALUE"""),16.0)</f>
        <v>16</v>
      </c>
      <c r="F95" s="21">
        <f>IFERROR(__xludf.DUMMYFUNCTION("""COMPUTED_VALUE"""),16.0)</f>
        <v>16</v>
      </c>
      <c r="G95" s="21">
        <f>IFERROR(__xludf.DUMMYFUNCTION("""COMPUTED_VALUE"""),15.5)</f>
        <v>15.5</v>
      </c>
      <c r="H95" s="82">
        <f>IFERROR(__xludf.DUMMYFUNCTION("""COMPUTED_VALUE"""),15.0)</f>
        <v>15</v>
      </c>
    </row>
    <row r="96">
      <c r="A96" s="19" t="str">
        <f>IFERROR(__xludf.DUMMYFUNCTION("""COMPUTED_VALUE"""),"K-7H")</f>
        <v>K-7H</v>
      </c>
      <c r="B96" s="19" t="str">
        <f>IFERROR(__xludf.DUMMYFUNCTION("""COMPUTED_VALUE"""),"Карман стандартного размера,110x95мм, толщина 250мкм")</f>
        <v>Карман стандартного размера,110x95мм, толщина 250мкм</v>
      </c>
      <c r="C96" s="21">
        <f>IFERROR(__xludf.DUMMYFUNCTION("""COMPUTED_VALUE"""),16.0)</f>
        <v>16</v>
      </c>
      <c r="D96" s="21">
        <f>IFERROR(__xludf.DUMMYFUNCTION("""COMPUTED_VALUE"""),16.0)</f>
        <v>16</v>
      </c>
      <c r="E96" s="21">
        <f>IFERROR(__xludf.DUMMYFUNCTION("""COMPUTED_VALUE"""),16.0)</f>
        <v>16</v>
      </c>
      <c r="F96" s="21">
        <f>IFERROR(__xludf.DUMMYFUNCTION("""COMPUTED_VALUE"""),16.0)</f>
        <v>16</v>
      </c>
      <c r="G96" s="21">
        <f>IFERROR(__xludf.DUMMYFUNCTION("""COMPUTED_VALUE"""),15.0)</f>
        <v>15</v>
      </c>
      <c r="H96" s="82">
        <f>IFERROR(__xludf.DUMMYFUNCTION("""COMPUTED_VALUE"""),15.0)</f>
        <v>15</v>
      </c>
    </row>
    <row r="97">
      <c r="A97" s="19" t="str">
        <f>IFERROR(__xludf.DUMMYFUNCTION("""COMPUTED_VALUE"""),"К-11H")</f>
        <v>К-11H</v>
      </c>
      <c r="B97" s="19" t="str">
        <f>IFERROR(__xludf.DUMMYFUNCTION("""COMPUTED_VALUE"""),"Карман стандартного размера,120x85мм, толщина 250мкм")</f>
        <v>Карман стандартного размера,120x85мм, толщина 250мкм</v>
      </c>
      <c r="C97" s="21">
        <f>IFERROR(__xludf.DUMMYFUNCTION("""COMPUTED_VALUE"""),17.0)</f>
        <v>17</v>
      </c>
      <c r="D97" s="21">
        <f>IFERROR(__xludf.DUMMYFUNCTION("""COMPUTED_VALUE"""),17.0)</f>
        <v>17</v>
      </c>
      <c r="E97" s="21">
        <f>IFERROR(__xludf.DUMMYFUNCTION("""COMPUTED_VALUE"""),17.0)</f>
        <v>17</v>
      </c>
      <c r="F97" s="21">
        <f>IFERROR(__xludf.DUMMYFUNCTION("""COMPUTED_VALUE"""),17.0)</f>
        <v>17</v>
      </c>
      <c r="G97" s="21">
        <f>IFERROR(__xludf.DUMMYFUNCTION("""COMPUTED_VALUE"""),16.0)</f>
        <v>16</v>
      </c>
      <c r="H97" s="82">
        <f>IFERROR(__xludf.DUMMYFUNCTION("""COMPUTED_VALUE"""),16.0)</f>
        <v>16</v>
      </c>
    </row>
    <row r="98">
      <c r="A98" s="19" t="str">
        <f>IFERROR(__xludf.DUMMYFUNCTION("""COMPUTED_VALUE"""),"K-3V")</f>
        <v>K-3V</v>
      </c>
      <c r="B98" s="19" t="str">
        <f>IFERROR(__xludf.DUMMYFUNCTION("""COMPUTED_VALUE"""),"Карман стандартного размера,60х90мм, толщина 250 мкм")</f>
        <v>Карман стандартного размера,60х90мм, толщина 250 мкм</v>
      </c>
      <c r="C98" s="21">
        <f>IFERROR(__xludf.DUMMYFUNCTION("""COMPUTED_VALUE"""),12.0)</f>
        <v>12</v>
      </c>
      <c r="D98" s="21">
        <f>IFERROR(__xludf.DUMMYFUNCTION("""COMPUTED_VALUE"""),12.0)</f>
        <v>12</v>
      </c>
      <c r="E98" s="21">
        <f>IFERROR(__xludf.DUMMYFUNCTION("""COMPUTED_VALUE"""),12.0)</f>
        <v>12</v>
      </c>
      <c r="F98" s="21">
        <f>IFERROR(__xludf.DUMMYFUNCTION("""COMPUTED_VALUE"""),12.0)</f>
        <v>12</v>
      </c>
      <c r="G98" s="21">
        <f>IFERROR(__xludf.DUMMYFUNCTION("""COMPUTED_VALUE"""),11.0)</f>
        <v>11</v>
      </c>
      <c r="H98" s="82">
        <f>IFERROR(__xludf.DUMMYFUNCTION("""COMPUTED_VALUE"""),11.0)</f>
        <v>11</v>
      </c>
    </row>
    <row r="99">
      <c r="A99" s="19" t="str">
        <f>IFERROR(__xludf.DUMMYFUNCTION("""COMPUTED_VALUE"""),"K-4V")</f>
        <v>K-4V</v>
      </c>
      <c r="B99" s="19" t="str">
        <f>IFERROR(__xludf.DUMMYFUNCTION("""COMPUTED_VALUE"""),"Карман стандартного размера,70х100мм, толщина 250 мкм")</f>
        <v>Карман стандартного размера,70х100мм, толщина 250 мкм</v>
      </c>
      <c r="C99" s="21">
        <f>IFERROR(__xludf.DUMMYFUNCTION("""COMPUTED_VALUE"""),14.0)</f>
        <v>14</v>
      </c>
      <c r="D99" s="21">
        <f>IFERROR(__xludf.DUMMYFUNCTION("""COMPUTED_VALUE"""),14.0)</f>
        <v>14</v>
      </c>
      <c r="E99" s="21">
        <f>IFERROR(__xludf.DUMMYFUNCTION("""COMPUTED_VALUE"""),14.0)</f>
        <v>14</v>
      </c>
      <c r="F99" s="21">
        <f>IFERROR(__xludf.DUMMYFUNCTION("""COMPUTED_VALUE"""),14.0)</f>
        <v>14</v>
      </c>
      <c r="G99" s="21">
        <f>IFERROR(__xludf.DUMMYFUNCTION("""COMPUTED_VALUE"""),13.0)</f>
        <v>13</v>
      </c>
      <c r="H99" s="82">
        <f>IFERROR(__xludf.DUMMYFUNCTION("""COMPUTED_VALUE"""),13.0)</f>
        <v>13</v>
      </c>
    </row>
    <row r="100">
      <c r="A100" s="19" t="str">
        <f>IFERROR(__xludf.DUMMYFUNCTION("""COMPUTED_VALUE"""),"К-10V")</f>
        <v>К-10V</v>
      </c>
      <c r="B100" s="19" t="str">
        <f>IFERROR(__xludf.DUMMYFUNCTION("""COMPUTED_VALUE"""),"Карман стандартного размера,80х106мм, толщина 250 мкм")</f>
        <v>Карман стандартного размера,80х106мм, толщина 250 мкм</v>
      </c>
      <c r="C100" s="21">
        <f>IFERROR(__xludf.DUMMYFUNCTION("""COMPUTED_VALUE"""),15.0)</f>
        <v>15</v>
      </c>
      <c r="D100" s="21">
        <f>IFERROR(__xludf.DUMMYFUNCTION("""COMPUTED_VALUE"""),15.0)</f>
        <v>15</v>
      </c>
      <c r="E100" s="21">
        <f>IFERROR(__xludf.DUMMYFUNCTION("""COMPUTED_VALUE"""),15.0)</f>
        <v>15</v>
      </c>
      <c r="F100" s="21">
        <f>IFERROR(__xludf.DUMMYFUNCTION("""COMPUTED_VALUE"""),15.0)</f>
        <v>15</v>
      </c>
      <c r="G100" s="21">
        <f>IFERROR(__xludf.DUMMYFUNCTION("""COMPUTED_VALUE"""),14.0)</f>
        <v>14</v>
      </c>
      <c r="H100" s="82">
        <f>IFERROR(__xludf.DUMMYFUNCTION("""COMPUTED_VALUE"""),14.0)</f>
        <v>14</v>
      </c>
    </row>
    <row r="101">
      <c r="A101" s="19" t="str">
        <f>IFERROR(__xludf.DUMMYFUNCTION("""COMPUTED_VALUE"""),"К-12V")</f>
        <v>К-12V</v>
      </c>
      <c r="B101" s="19" t="str">
        <f>IFERROR(__xludf.DUMMYFUNCTION("""COMPUTED_VALUE"""),"Карман стандартного размера,82х120мм, толщина 250 мкм (новинка, уточнять наличие на складе)")</f>
        <v>Карман стандартного размера,82х120мм, толщина 250 мкм (новинка, уточнять наличие на складе)</v>
      </c>
      <c r="C101" s="21">
        <f>IFERROR(__xludf.DUMMYFUNCTION("""COMPUTED_VALUE"""),16.0)</f>
        <v>16</v>
      </c>
      <c r="D101" s="21">
        <f>IFERROR(__xludf.DUMMYFUNCTION("""COMPUTED_VALUE"""),16.0)</f>
        <v>16</v>
      </c>
      <c r="E101" s="21">
        <f>IFERROR(__xludf.DUMMYFUNCTION("""COMPUTED_VALUE"""),16.0)</f>
        <v>16</v>
      </c>
      <c r="F101" s="21">
        <f>IFERROR(__xludf.DUMMYFUNCTION("""COMPUTED_VALUE"""),16.0)</f>
        <v>16</v>
      </c>
      <c r="G101" s="21">
        <f>IFERROR(__xludf.DUMMYFUNCTION("""COMPUTED_VALUE"""),15.0)</f>
        <v>15</v>
      </c>
      <c r="H101" s="82">
        <f>IFERROR(__xludf.DUMMYFUNCTION("""COMPUTED_VALUE"""),15.0)</f>
        <v>15</v>
      </c>
    </row>
    <row r="102">
      <c r="A102" s="19" t="str">
        <f>IFERROR(__xludf.DUMMYFUNCTION("""COMPUTED_VALUE"""),"K-6V")</f>
        <v>K-6V</v>
      </c>
      <c r="B102" s="19" t="str">
        <f>IFERROR(__xludf.DUMMYFUNCTION("""COMPUTED_VALUE"""),"Карман стандартного размера,95х140мм, толщина 250 мкм")</f>
        <v>Карман стандартного размера,95х140мм, толщина 250 мкм</v>
      </c>
      <c r="C102" s="21">
        <f>IFERROR(__xludf.DUMMYFUNCTION("""COMPUTED_VALUE"""),17.0)</f>
        <v>17</v>
      </c>
      <c r="D102" s="21">
        <f>IFERROR(__xludf.DUMMYFUNCTION("""COMPUTED_VALUE"""),17.0)</f>
        <v>17</v>
      </c>
      <c r="E102" s="21">
        <f>IFERROR(__xludf.DUMMYFUNCTION("""COMPUTED_VALUE"""),17.0)</f>
        <v>17</v>
      </c>
      <c r="F102" s="21">
        <f>IFERROR(__xludf.DUMMYFUNCTION("""COMPUTED_VALUE"""),17.0)</f>
        <v>17</v>
      </c>
      <c r="G102" s="21">
        <f>IFERROR(__xludf.DUMMYFUNCTION("""COMPUTED_VALUE"""),16.0)</f>
        <v>16</v>
      </c>
      <c r="H102" s="82">
        <f>IFERROR(__xludf.DUMMYFUNCTION("""COMPUTED_VALUE"""),15.0)</f>
        <v>15</v>
      </c>
    </row>
    <row r="103">
      <c r="A103" s="19" t="str">
        <f>IFERROR(__xludf.DUMMYFUNCTION("""COMPUTED_VALUE"""),"K-8V")</f>
        <v>K-8V</v>
      </c>
      <c r="B103" s="19" t="str">
        <f>IFERROR(__xludf.DUMMYFUNCTION("""COMPUTED_VALUE"""),"Карман стандартного размера,110х130мм, толщина 250 мкм")</f>
        <v>Карман стандартного размера,110х130мм, толщина 250 мкм</v>
      </c>
      <c r="C103" s="21">
        <f>IFERROR(__xludf.DUMMYFUNCTION("""COMPUTED_VALUE"""),18.0)</f>
        <v>18</v>
      </c>
      <c r="D103" s="21">
        <f>IFERROR(__xludf.DUMMYFUNCTION("""COMPUTED_VALUE"""),18.0)</f>
        <v>18</v>
      </c>
      <c r="E103" s="21">
        <f>IFERROR(__xludf.DUMMYFUNCTION("""COMPUTED_VALUE"""),18.0)</f>
        <v>18</v>
      </c>
      <c r="F103" s="21">
        <f>IFERROR(__xludf.DUMMYFUNCTION("""COMPUTED_VALUE"""),18.0)</f>
        <v>18</v>
      </c>
      <c r="G103" s="21">
        <f>IFERROR(__xludf.DUMMYFUNCTION("""COMPUTED_VALUE"""),17.0)</f>
        <v>17</v>
      </c>
      <c r="H103" s="82">
        <f>IFERROR(__xludf.DUMMYFUNCTION("""COMPUTED_VALUE"""),16.0)</f>
        <v>16</v>
      </c>
    </row>
    <row r="104">
      <c r="A104" s="19" t="str">
        <f>IFERROR(__xludf.DUMMYFUNCTION("""COMPUTED_VALUE"""),"A-6V и A-6V+")</f>
        <v>A-6V и A-6V+</v>
      </c>
      <c r="B104" s="19" t="str">
        <f>IFERROR(__xludf.DUMMYFUNCTION("""COMPUTED_VALUE"""),"Карман стандартного размера,105х150мм / 110х150мм, толщина 250 мкм")</f>
        <v>Карман стандартного размера,105х150мм / 110х150мм, толщина 250 мкм</v>
      </c>
      <c r="C104" s="21">
        <f>IFERROR(__xludf.DUMMYFUNCTION("""COMPUTED_VALUE"""),18.0)</f>
        <v>18</v>
      </c>
      <c r="D104" s="21">
        <f>IFERROR(__xludf.DUMMYFUNCTION("""COMPUTED_VALUE"""),18.0)</f>
        <v>18</v>
      </c>
      <c r="E104" s="21">
        <f>IFERROR(__xludf.DUMMYFUNCTION("""COMPUTED_VALUE"""),18.0)</f>
        <v>18</v>
      </c>
      <c r="F104" s="21">
        <f>IFERROR(__xludf.DUMMYFUNCTION("""COMPUTED_VALUE"""),18.0)</f>
        <v>18</v>
      </c>
      <c r="G104" s="21">
        <f>IFERROR(__xludf.DUMMYFUNCTION("""COMPUTED_VALUE"""),17.0)</f>
        <v>17</v>
      </c>
      <c r="H104" s="82">
        <f>IFERROR(__xludf.DUMMYFUNCTION("""COMPUTED_VALUE"""),16.0)</f>
        <v>16</v>
      </c>
    </row>
    <row r="105">
      <c r="A105" s="19" t="str">
        <f>IFERROR(__xludf.DUMMYFUNCTION("""COMPUTED_VALUE"""),"501Т")</f>
        <v>501Т</v>
      </c>
      <c r="B105" s="19" t="str">
        <f>IFERROR(__xludf.DUMMYFUNCTION("""COMPUTED_VALUE"""),"Карман стандартного размера,95х78мм, толщина 500/250 мкм ")</f>
        <v>Карман стандартного размера,95х78мм, толщина 500/250 мкм </v>
      </c>
      <c r="C105" s="21">
        <f>IFERROR(__xludf.DUMMYFUNCTION("""COMPUTED_VALUE"""),15.0)</f>
        <v>15</v>
      </c>
      <c r="D105" s="21">
        <f>IFERROR(__xludf.DUMMYFUNCTION("""COMPUTED_VALUE"""),15.0)</f>
        <v>15</v>
      </c>
      <c r="E105" s="21">
        <f>IFERROR(__xludf.DUMMYFUNCTION("""COMPUTED_VALUE"""),15.0)</f>
        <v>15</v>
      </c>
      <c r="F105" s="21">
        <f>IFERROR(__xludf.DUMMYFUNCTION("""COMPUTED_VALUE"""),15.0)</f>
        <v>15</v>
      </c>
      <c r="G105" s="21">
        <f>IFERROR(__xludf.DUMMYFUNCTION("""COMPUTED_VALUE"""),15.0)</f>
        <v>15</v>
      </c>
      <c r="H105" s="82">
        <f>IFERROR(__xludf.DUMMYFUNCTION("""COMPUTED_VALUE"""),14.0)</f>
        <v>14</v>
      </c>
    </row>
    <row r="106">
      <c r="A106" s="19" t="str">
        <f>IFERROR(__xludf.DUMMYFUNCTION("""COMPUTED_VALUE"""),"KD-9V")</f>
        <v>KD-9V</v>
      </c>
      <c r="B106" s="19" t="str">
        <f>IFERROR(__xludf.DUMMYFUNCTION("""COMPUTED_VALUE"""),"Карман на 3-вкладыша размера, 95х80,95х55, 95х145, толщина 250 мкм.")</f>
        <v>Карман на 3-вкладыша размера, 95х80,95х55, 95х145, толщина 250 мкм.</v>
      </c>
      <c r="C106" s="21">
        <f>IFERROR(__xludf.DUMMYFUNCTION("""COMPUTED_VALUE"""),27.0)</f>
        <v>27</v>
      </c>
      <c r="D106" s="21">
        <f>IFERROR(__xludf.DUMMYFUNCTION("""COMPUTED_VALUE"""),27.0)</f>
        <v>27</v>
      </c>
      <c r="E106" s="21">
        <f>IFERROR(__xludf.DUMMYFUNCTION("""COMPUTED_VALUE"""),27.0)</f>
        <v>27</v>
      </c>
      <c r="F106" s="21">
        <f>IFERROR(__xludf.DUMMYFUNCTION("""COMPUTED_VALUE"""),27.0)</f>
        <v>27</v>
      </c>
      <c r="G106" s="21">
        <f>IFERROR(__xludf.DUMMYFUNCTION("""COMPUTED_VALUE"""),26.0)</f>
        <v>26</v>
      </c>
      <c r="H106" s="82">
        <f>IFERROR(__xludf.DUMMYFUNCTION("""COMPUTED_VALUE"""),26.0)</f>
        <v>26</v>
      </c>
    </row>
    <row r="107">
      <c r="A107" s="19" t="str">
        <f>IFERROR(__xludf.DUMMYFUNCTION("""COMPUTED_VALUE"""),"KD-13V")</f>
        <v>KD-13V</v>
      </c>
      <c r="B107" s="19" t="str">
        <f>IFERROR(__xludf.DUMMYFUNCTION("""COMPUTED_VALUE"""),"Карман на 3-вкладыша размера, 88х60,88х60, 88х135, толщина 250 мкм.")</f>
        <v>Карман на 3-вкладыша размера, 88х60,88х60, 88х135, толщина 250 мкм.</v>
      </c>
      <c r="C107" s="21" t="str">
        <f>IFERROR(__xludf.DUMMYFUNCTION("""COMPUTED_VALUE"""),"")</f>
        <v/>
      </c>
      <c r="D107" s="21" t="str">
        <f>IFERROR(__xludf.DUMMYFUNCTION("""COMPUTED_VALUE"""),"")</f>
        <v/>
      </c>
      <c r="E107" s="21" t="str">
        <f>IFERROR(__xludf.DUMMYFUNCTION("""COMPUTED_VALUE"""),"")</f>
        <v/>
      </c>
      <c r="F107" s="21" t="str">
        <f>IFERROR(__xludf.DUMMYFUNCTION("""COMPUTED_VALUE"""),"")</f>
        <v/>
      </c>
      <c r="G107" s="21" t="str">
        <f>IFERROR(__xludf.DUMMYFUNCTION("""COMPUTED_VALUE"""),"")</f>
        <v/>
      </c>
      <c r="H107" s="82" t="str">
        <f>IFERROR(__xludf.DUMMYFUNCTION("""COMPUTED_VALUE"""),"")</f>
        <v/>
      </c>
    </row>
    <row r="108">
      <c r="A108" s="19" t="str">
        <f>IFERROR(__xludf.DUMMYFUNCTION("""COMPUTED_VALUE"""),"KD-10V")</f>
        <v>KD-10V</v>
      </c>
      <c r="B108" s="19" t="str">
        <f>IFERROR(__xludf.DUMMYFUNCTION("""COMPUTED_VALUE"""),"Карман на 2- вкладыша размера, 88x56мм, 88х56мм, толщина 250 мкм")</f>
        <v>Карман на 2- вкладыша размера, 88x56мм, 88х56мм, толщина 250 мкм</v>
      </c>
      <c r="C108" s="21">
        <f>IFERROR(__xludf.DUMMYFUNCTION("""COMPUTED_VALUE"""),20.0)</f>
        <v>20</v>
      </c>
      <c r="D108" s="21">
        <f>IFERROR(__xludf.DUMMYFUNCTION("""COMPUTED_VALUE"""),20.0)</f>
        <v>20</v>
      </c>
      <c r="E108" s="21">
        <f>IFERROR(__xludf.DUMMYFUNCTION("""COMPUTED_VALUE"""),20.0)</f>
        <v>20</v>
      </c>
      <c r="F108" s="21">
        <f>IFERROR(__xludf.DUMMYFUNCTION("""COMPUTED_VALUE"""),20.0)</f>
        <v>20</v>
      </c>
      <c r="G108" s="21">
        <f>IFERROR(__xludf.DUMMYFUNCTION("""COMPUTED_VALUE"""),19.0)</f>
        <v>19</v>
      </c>
      <c r="H108" s="82">
        <f>IFERROR(__xludf.DUMMYFUNCTION("""COMPUTED_VALUE"""),18.0)</f>
        <v>18</v>
      </c>
    </row>
    <row r="109">
      <c r="A109" s="19" t="str">
        <f>IFERROR(__xludf.DUMMYFUNCTION("""COMPUTED_VALUE"""),"КP - 11H")</f>
        <v>КP - 11H</v>
      </c>
      <c r="B109" s="19" t="str">
        <f>IFERROR(__xludf.DUMMYFUNCTION("""COMPUTED_VALUE"""),"Карман стандартного размера, крепление под пуговицу, 95х60 мм, толщина 250 мкм.")</f>
        <v>Карман стандартного размера, крепление под пуговицу, 95х60 мм, толщина 250 мкм.</v>
      </c>
      <c r="C109" s="21">
        <f>IFERROR(__xludf.DUMMYFUNCTION("""COMPUTED_VALUE"""),18.0)</f>
        <v>18</v>
      </c>
      <c r="D109" s="21">
        <f>IFERROR(__xludf.DUMMYFUNCTION("""COMPUTED_VALUE"""),18.0)</f>
        <v>18</v>
      </c>
      <c r="E109" s="21">
        <f>IFERROR(__xludf.DUMMYFUNCTION("""COMPUTED_VALUE"""),18.0)</f>
        <v>18</v>
      </c>
      <c r="F109" s="21">
        <f>IFERROR(__xludf.DUMMYFUNCTION("""COMPUTED_VALUE"""),17.0)</f>
        <v>17</v>
      </c>
      <c r="G109" s="21">
        <f>IFERROR(__xludf.DUMMYFUNCTION("""COMPUTED_VALUE"""),16.0)</f>
        <v>16</v>
      </c>
      <c r="H109" s="82">
        <f>IFERROR(__xludf.DUMMYFUNCTION("""COMPUTED_VALUE"""),16.0)</f>
        <v>16</v>
      </c>
    </row>
    <row r="110">
      <c r="A110" s="19" t="str">
        <f>IFERROR(__xludf.DUMMYFUNCTION("""COMPUTED_VALUE"""),"KP-22V")</f>
        <v>KP-22V</v>
      </c>
      <c r="B110" s="19" t="str">
        <f>IFERROR(__xludf.DUMMYFUNCTION("""COMPUTED_VALUE"""),"Карман для спецодежды стандартного размера, крепление под пуговицу, 110х58мм, толщина 250/500 мкм.")</f>
        <v>Карман для спецодежды стандартного размера, крепление под пуговицу, 110х58мм, толщина 250/500 мкм.</v>
      </c>
      <c r="C110" s="21">
        <f>IFERROR(__xludf.DUMMYFUNCTION("""COMPUTED_VALUE"""),24.0)</f>
        <v>24</v>
      </c>
      <c r="D110" s="21">
        <f>IFERROR(__xludf.DUMMYFUNCTION("""COMPUTED_VALUE"""),24.0)</f>
        <v>24</v>
      </c>
      <c r="E110" s="21">
        <f>IFERROR(__xludf.DUMMYFUNCTION("""COMPUTED_VALUE"""),24.0)</f>
        <v>24</v>
      </c>
      <c r="F110" s="21">
        <f>IFERROR(__xludf.DUMMYFUNCTION("""COMPUTED_VALUE"""),24.0)</f>
        <v>24</v>
      </c>
      <c r="G110" s="21">
        <f>IFERROR(__xludf.DUMMYFUNCTION("""COMPUTED_VALUE"""),23.0)</f>
        <v>23</v>
      </c>
      <c r="H110" s="82">
        <f>IFERROR(__xludf.DUMMYFUNCTION("""COMPUTED_VALUE"""),23.0)</f>
        <v>23</v>
      </c>
    </row>
    <row r="111">
      <c r="A111" s="19" t="str">
        <f>IFERROR(__xludf.DUMMYFUNCTION("""COMPUTED_VALUE"""),"А-1360V")</f>
        <v>А-1360V</v>
      </c>
      <c r="B111" s="19" t="str">
        <f>IFERROR(__xludf.DUMMYFUNCTION("""COMPUTED_VALUE"""),"Карман для ценника, внешний размер 44х77мм, внутренний 44х62мм")</f>
        <v>Карман для ценника, внешний размер 44х77мм, внутренний 44х62мм</v>
      </c>
      <c r="C111" s="21">
        <f>IFERROR(__xludf.DUMMYFUNCTION("""COMPUTED_VALUE"""),9.0)</f>
        <v>9</v>
      </c>
      <c r="D111" s="21">
        <f>IFERROR(__xludf.DUMMYFUNCTION("""COMPUTED_VALUE"""),9.0)</f>
        <v>9</v>
      </c>
      <c r="E111" s="21">
        <f>IFERROR(__xludf.DUMMYFUNCTION("""COMPUTED_VALUE"""),9.0)</f>
        <v>9</v>
      </c>
      <c r="F111" s="21">
        <f>IFERROR(__xludf.DUMMYFUNCTION("""COMPUTED_VALUE"""),9.0)</f>
        <v>9</v>
      </c>
      <c r="G111" s="21">
        <f>IFERROR(__xludf.DUMMYFUNCTION("""COMPUTED_VALUE"""),8.0)</f>
        <v>8</v>
      </c>
      <c r="H111" s="82">
        <f>IFERROR(__xludf.DUMMYFUNCTION("""COMPUTED_VALUE"""),7.5)</f>
        <v>7.5</v>
      </c>
    </row>
    <row r="112">
      <c r="A112" s="12" t="str">
        <f>IFERROR(__xludf.DUMMYFUNCTION("""COMPUTED_VALUE"""),"Карманы с застежкой ""ZIP-LOCK""")</f>
        <v>Карманы с застежкой "ZIP-LOCK"</v>
      </c>
      <c r="B112" s="14"/>
      <c r="C112" s="16" t="str">
        <f>IFERROR(__xludf.DUMMYFUNCTION("""COMPUTED_VALUE"""),"50 шт")</f>
        <v>50 шт</v>
      </c>
      <c r="D112" s="16" t="str">
        <f>IFERROR(__xludf.DUMMYFUNCTION("""COMPUTED_VALUE"""),"100 шт")</f>
        <v>100 шт</v>
      </c>
      <c r="E112" s="16" t="str">
        <f>IFERROR(__xludf.DUMMYFUNCTION("""COMPUTED_VALUE"""),"200 шт")</f>
        <v>200 шт</v>
      </c>
      <c r="F112" s="16" t="str">
        <f>IFERROR(__xludf.DUMMYFUNCTION("""COMPUTED_VALUE"""),"300 шт")</f>
        <v>300 шт</v>
      </c>
      <c r="G112" s="16" t="str">
        <f>IFERROR(__xludf.DUMMYFUNCTION("""COMPUTED_VALUE"""),"500 шт")</f>
        <v>500 шт</v>
      </c>
      <c r="H112" s="16" t="str">
        <f>IFERROR(__xludf.DUMMYFUNCTION("""COMPUTED_VALUE"""),"1000 шт")</f>
        <v>1000 шт</v>
      </c>
    </row>
    <row r="113">
      <c r="A113" s="19" t="str">
        <f>IFERROR(__xludf.DUMMYFUNCTION("""COMPUTED_VALUE"""),"К-3VZip")</f>
        <v>К-3VZip</v>
      </c>
      <c r="B113" s="19" t="str">
        <f>IFERROR(__xludf.DUMMYFUNCTION("""COMPUTED_VALUE"""),"Карман вертикальный герметичный для проксимити карты с застежкой ""ZIP-LOCK"",64x88, 250 мкм")</f>
        <v>Карман вертикальный герметичный для проксимити карты с застежкой "ZIP-LOCK",64x88, 250 мкм</v>
      </c>
      <c r="C113" s="21">
        <f>IFERROR(__xludf.DUMMYFUNCTION("""COMPUTED_VALUE"""),20.0)</f>
        <v>20</v>
      </c>
      <c r="D113" s="21">
        <f>IFERROR(__xludf.DUMMYFUNCTION("""COMPUTED_VALUE"""),20.0)</f>
        <v>20</v>
      </c>
      <c r="E113" s="21">
        <f>IFERROR(__xludf.DUMMYFUNCTION("""COMPUTED_VALUE"""),20.0)</f>
        <v>20</v>
      </c>
      <c r="F113" s="21">
        <f>IFERROR(__xludf.DUMMYFUNCTION("""COMPUTED_VALUE"""),20.0)</f>
        <v>20</v>
      </c>
      <c r="G113" s="21">
        <f>IFERROR(__xludf.DUMMYFUNCTION("""COMPUTED_VALUE"""),19.0)</f>
        <v>19</v>
      </c>
      <c r="H113" s="82">
        <f>IFERROR(__xludf.DUMMYFUNCTION("""COMPUTED_VALUE"""),19.0)</f>
        <v>19</v>
      </c>
    </row>
    <row r="114">
      <c r="A114" s="19" t="str">
        <f>IFERROR(__xludf.DUMMYFUNCTION("""COMPUTED_VALUE"""),"К-1HZip")</f>
        <v>К-1HZip</v>
      </c>
      <c r="B114" s="19" t="str">
        <f>IFERROR(__xludf.DUMMYFUNCTION("""COMPUTED_VALUE"""),"Карман горизонтальный герметичный для проксимити карты с застежкой ""ZIP-LOCK"",94x60, 250 мкм")</f>
        <v>Карман горизонтальный герметичный для проксимити карты с застежкой "ZIP-LOCK",94x60, 250 мкм</v>
      </c>
      <c r="C114" s="21">
        <f>IFERROR(__xludf.DUMMYFUNCTION("""COMPUTED_VALUE"""),20.0)</f>
        <v>20</v>
      </c>
      <c r="D114" s="21">
        <f>IFERROR(__xludf.DUMMYFUNCTION("""COMPUTED_VALUE"""),20.0)</f>
        <v>20</v>
      </c>
      <c r="E114" s="21">
        <f>IFERROR(__xludf.DUMMYFUNCTION("""COMPUTED_VALUE"""),20.0)</f>
        <v>20</v>
      </c>
      <c r="F114" s="21">
        <f>IFERROR(__xludf.DUMMYFUNCTION("""COMPUTED_VALUE"""),20.0)</f>
        <v>20</v>
      </c>
      <c r="G114" s="21">
        <f>IFERROR(__xludf.DUMMYFUNCTION("""COMPUTED_VALUE"""),19.0)</f>
        <v>19</v>
      </c>
      <c r="H114" s="82">
        <f>IFERROR(__xludf.DUMMYFUNCTION("""COMPUTED_VALUE"""),19.0)</f>
        <v>19</v>
      </c>
    </row>
    <row r="115">
      <c r="A115" s="19" t="str">
        <f>IFERROR(__xludf.DUMMYFUNCTION("""COMPUTED_VALUE"""),"К-4VZip")</f>
        <v>К-4VZip</v>
      </c>
      <c r="B115" s="19" t="str">
        <f>IFERROR(__xludf.DUMMYFUNCTION("""COMPUTED_VALUE"""),"Карман вертикальный герметичный с красной застежкой ""ZIP-LOCK"",67x98, толщина винила 500 мкм")</f>
        <v>Карман вертикальный герметичный с красной застежкой "ZIP-LOCK",67x98, толщина винила 500 мкм</v>
      </c>
      <c r="C115" s="21">
        <f>IFERROR(__xludf.DUMMYFUNCTION("""COMPUTED_VALUE"""),30.0)</f>
        <v>30</v>
      </c>
      <c r="D115" s="21">
        <f>IFERROR(__xludf.DUMMYFUNCTION("""COMPUTED_VALUE"""),30.0)</f>
        <v>30</v>
      </c>
      <c r="E115" s="21">
        <f>IFERROR(__xludf.DUMMYFUNCTION("""COMPUTED_VALUE"""),30.0)</f>
        <v>30</v>
      </c>
      <c r="F115" s="21">
        <f>IFERROR(__xludf.DUMMYFUNCTION("""COMPUTED_VALUE"""),30.0)</f>
        <v>30</v>
      </c>
      <c r="G115" s="21">
        <f>IFERROR(__xludf.DUMMYFUNCTION("""COMPUTED_VALUE"""),29.0)</f>
        <v>29</v>
      </c>
      <c r="H115" s="82">
        <f>IFERROR(__xludf.DUMMYFUNCTION("""COMPUTED_VALUE"""),29.0)</f>
        <v>29</v>
      </c>
    </row>
    <row r="116">
      <c r="A116" s="19" t="str">
        <f>IFERROR(__xludf.DUMMYFUNCTION("""COMPUTED_VALUE"""),"К-2HZip")</f>
        <v>К-2HZip</v>
      </c>
      <c r="B116" s="19" t="str">
        <f>IFERROR(__xludf.DUMMYFUNCTION("""COMPUTED_VALUE"""),"Карман горизонтальный герметичный с красной застежкой ""ZIP-LOCK"",98x67,толщина винила 500 мкм")</f>
        <v>Карман горизонтальный герметичный с красной застежкой "ZIP-LOCK",98x67,толщина винила 500 мкм</v>
      </c>
      <c r="C116" s="21">
        <f>IFERROR(__xludf.DUMMYFUNCTION("""COMPUTED_VALUE"""),30.0)</f>
        <v>30</v>
      </c>
      <c r="D116" s="21">
        <f>IFERROR(__xludf.DUMMYFUNCTION("""COMPUTED_VALUE"""),30.0)</f>
        <v>30</v>
      </c>
      <c r="E116" s="21">
        <f>IFERROR(__xludf.DUMMYFUNCTION("""COMPUTED_VALUE"""),30.0)</f>
        <v>30</v>
      </c>
      <c r="F116" s="21">
        <f>IFERROR(__xludf.DUMMYFUNCTION("""COMPUTED_VALUE"""),30.0)</f>
        <v>30</v>
      </c>
      <c r="G116" s="21">
        <f>IFERROR(__xludf.DUMMYFUNCTION("""COMPUTED_VALUE"""),29.0)</f>
        <v>29</v>
      </c>
      <c r="H116" s="82">
        <f>IFERROR(__xludf.DUMMYFUNCTION("""COMPUTED_VALUE"""),29.0)</f>
        <v>29</v>
      </c>
    </row>
    <row r="117">
      <c r="A117" s="19" t="str">
        <f>IFERROR(__xludf.DUMMYFUNCTION("""COMPUTED_VALUE"""),"КR-3VZip")</f>
        <v>КR-3VZip</v>
      </c>
      <c r="B117" s="19" t="str">
        <f>IFERROR(__xludf.DUMMYFUNCTION("""COMPUTED_VALUE"""),"Карман вертикальный герметичный для проксимити карты с красной застежкой ""ZIP-LOCK"",65x96,  250/500 мкм")</f>
        <v>Карман вертикальный герметичный для проксимити карты с красной застежкой "ZIP-LOCK",65x96,  250/500 мкм</v>
      </c>
      <c r="C117" s="21">
        <f>IFERROR(__xludf.DUMMYFUNCTION("""COMPUTED_VALUE"""),22.0)</f>
        <v>22</v>
      </c>
      <c r="D117" s="21">
        <f>IFERROR(__xludf.DUMMYFUNCTION("""COMPUTED_VALUE"""),22.0)</f>
        <v>22</v>
      </c>
      <c r="E117" s="21">
        <f>IFERROR(__xludf.DUMMYFUNCTION("""COMPUTED_VALUE"""),22.0)</f>
        <v>22</v>
      </c>
      <c r="F117" s="21">
        <f>IFERROR(__xludf.DUMMYFUNCTION("""COMPUTED_VALUE"""),22.0)</f>
        <v>22</v>
      </c>
      <c r="G117" s="21">
        <f>IFERROR(__xludf.DUMMYFUNCTION("""COMPUTED_VALUE"""),21.0)</f>
        <v>21</v>
      </c>
      <c r="H117" s="82">
        <f>IFERROR(__xludf.DUMMYFUNCTION("""COMPUTED_VALUE"""),21.0)</f>
        <v>21</v>
      </c>
    </row>
    <row r="118">
      <c r="A118" s="19" t="str">
        <f>IFERROR(__xludf.DUMMYFUNCTION("""COMPUTED_VALUE"""),"КR-1HZip")</f>
        <v>КR-1HZip</v>
      </c>
      <c r="B118" s="19" t="str">
        <f>IFERROR(__xludf.DUMMYFUNCTION("""COMPUTED_VALUE"""),"Карман горизонтальный герметичный для проксимити карты с красной застежкой ""ZIP-LOCK"",95x64, 250/500 мкм")</f>
        <v>Карман горизонтальный герметичный для проксимити карты с красной застежкой "ZIP-LOCK",95x64, 250/500 мкм</v>
      </c>
      <c r="C118" s="21">
        <f>IFERROR(__xludf.DUMMYFUNCTION("""COMPUTED_VALUE"""),22.0)</f>
        <v>22</v>
      </c>
      <c r="D118" s="21">
        <f>IFERROR(__xludf.DUMMYFUNCTION("""COMPUTED_VALUE"""),22.0)</f>
        <v>22</v>
      </c>
      <c r="E118" s="21">
        <f>IFERROR(__xludf.DUMMYFUNCTION("""COMPUTED_VALUE"""),22.0)</f>
        <v>22</v>
      </c>
      <c r="F118" s="21">
        <f>IFERROR(__xludf.DUMMYFUNCTION("""COMPUTED_VALUE"""),22.0)</f>
        <v>22</v>
      </c>
      <c r="G118" s="21">
        <f>IFERROR(__xludf.DUMMYFUNCTION("""COMPUTED_VALUE"""),21.0)</f>
        <v>21</v>
      </c>
      <c r="H118" s="82">
        <f>IFERROR(__xludf.DUMMYFUNCTION("""COMPUTED_VALUE"""),21.0)</f>
        <v>21</v>
      </c>
    </row>
    <row r="119">
      <c r="A119" s="12" t="str">
        <f>IFERROR(__xludf.DUMMYFUNCTION("""COMPUTED_VALUE"""),"Держатели жесткие пластиковые для бесконтактных и контактных смарт-карт")</f>
        <v>Держатели жесткие пластиковые для бесконтактных и контактных смарт-карт</v>
      </c>
      <c r="B119" s="14"/>
      <c r="C119" s="16" t="str">
        <f>IFERROR(__xludf.DUMMYFUNCTION("""COMPUTED_VALUE"""),"50 шт")</f>
        <v>50 шт</v>
      </c>
      <c r="D119" s="16" t="str">
        <f>IFERROR(__xludf.DUMMYFUNCTION("""COMPUTED_VALUE"""),"100 шт")</f>
        <v>100 шт</v>
      </c>
      <c r="E119" s="16" t="str">
        <f>IFERROR(__xludf.DUMMYFUNCTION("""COMPUTED_VALUE"""),"200 шт")</f>
        <v>200 шт</v>
      </c>
      <c r="F119" s="16" t="str">
        <f>IFERROR(__xludf.DUMMYFUNCTION("""COMPUTED_VALUE"""),"300 шт")</f>
        <v>300 шт</v>
      </c>
      <c r="G119" s="16" t="str">
        <f>IFERROR(__xludf.DUMMYFUNCTION("""COMPUTED_VALUE"""),"500 шт")</f>
        <v>500 шт</v>
      </c>
      <c r="H119" s="16" t="str">
        <f>IFERROR(__xludf.DUMMYFUNCTION("""COMPUTED_VALUE"""),"1000 шт")</f>
        <v>1000 шт</v>
      </c>
    </row>
    <row r="120">
      <c r="A120" s="19" t="str">
        <f>IFERROR(__xludf.DUMMYFUNCTION("""COMPUTED_VALUE"""),"KDGV-201")</f>
        <v>KDGV-201</v>
      </c>
      <c r="B120" s="19" t="str">
        <f>IFERROR(__xludf.DUMMYFUNCTION("""COMPUTED_VALUE"""),"Держатель жесткий вертикальный для карт, 54x86мм")</f>
        <v>Держатель жесткий вертикальный для карт, 54x86мм</v>
      </c>
      <c r="C120" s="21">
        <f>IFERROR(__xludf.DUMMYFUNCTION("""COMPUTED_VALUE"""),30.0)</f>
        <v>30</v>
      </c>
      <c r="D120" s="21">
        <f>IFERROR(__xludf.DUMMYFUNCTION("""COMPUTED_VALUE"""),25.0)</f>
        <v>25</v>
      </c>
      <c r="E120" s="21">
        <f>IFERROR(__xludf.DUMMYFUNCTION("""COMPUTED_VALUE"""),25.0)</f>
        <v>25</v>
      </c>
      <c r="F120" s="21">
        <f>IFERROR(__xludf.DUMMYFUNCTION("""COMPUTED_VALUE"""),25.0)</f>
        <v>25</v>
      </c>
      <c r="G120" s="21">
        <f>IFERROR(__xludf.DUMMYFUNCTION("""COMPUTED_VALUE"""),24.0)</f>
        <v>24</v>
      </c>
      <c r="H120" s="82">
        <f>IFERROR(__xludf.DUMMYFUNCTION("""COMPUTED_VALUE"""),24.0)</f>
        <v>24</v>
      </c>
    </row>
    <row r="121">
      <c r="A121" s="19" t="str">
        <f>IFERROR(__xludf.DUMMYFUNCTION("""COMPUTED_VALUE"""),"KDGH-202")</f>
        <v>KDGH-202</v>
      </c>
      <c r="B121" s="19" t="str">
        <f>IFERROR(__xludf.DUMMYFUNCTION("""COMPUTED_VALUE"""),"Держатель жесткий горизонтальный для карт, 86x54мм")</f>
        <v>Держатель жесткий горизонтальный для карт, 86x54мм</v>
      </c>
      <c r="C121" s="21">
        <f>IFERROR(__xludf.DUMMYFUNCTION("""COMPUTED_VALUE"""),30.0)</f>
        <v>30</v>
      </c>
      <c r="D121" s="21">
        <f>IFERROR(__xludf.DUMMYFUNCTION("""COMPUTED_VALUE"""),25.0)</f>
        <v>25</v>
      </c>
      <c r="E121" s="21">
        <f>IFERROR(__xludf.DUMMYFUNCTION("""COMPUTED_VALUE"""),25.0)</f>
        <v>25</v>
      </c>
      <c r="F121" s="21">
        <f>IFERROR(__xludf.DUMMYFUNCTION("""COMPUTED_VALUE"""),25.0)</f>
        <v>25</v>
      </c>
      <c r="G121" s="21">
        <f>IFERROR(__xludf.DUMMYFUNCTION("""COMPUTED_VALUE"""),24.0)</f>
        <v>24</v>
      </c>
      <c r="H121" s="82">
        <f>IFERROR(__xludf.DUMMYFUNCTION("""COMPUTED_VALUE"""),24.0)</f>
        <v>24</v>
      </c>
    </row>
    <row r="122">
      <c r="A122" s="19" t="str">
        <f>IFERROR(__xludf.DUMMYFUNCTION("""COMPUTED_VALUE"""),"KDGHV-204")</f>
        <v>KDGHV-204</v>
      </c>
      <c r="B122" s="19" t="str">
        <f>IFERROR(__xludf.DUMMYFUNCTION("""COMPUTED_VALUE"""),"Держатель горизонтальный/вертикальный жесткий открытый для карт, внешний размер, 86x54мм")</f>
        <v>Держатель горизонтальный/вертикальный жесткий открытый для карт, внешний размер, 86x54мм</v>
      </c>
      <c r="C122" s="21">
        <f>IFERROR(__xludf.DUMMYFUNCTION("""COMPUTED_VALUE"""),23.0)</f>
        <v>23</v>
      </c>
      <c r="D122" s="21">
        <f>IFERROR(__xludf.DUMMYFUNCTION("""COMPUTED_VALUE"""),23.0)</f>
        <v>23</v>
      </c>
      <c r="E122" s="21">
        <f>IFERROR(__xludf.DUMMYFUNCTION("""COMPUTED_VALUE"""),23.0)</f>
        <v>23</v>
      </c>
      <c r="F122" s="21">
        <f>IFERROR(__xludf.DUMMYFUNCTION("""COMPUTED_VALUE"""),23.0)</f>
        <v>23</v>
      </c>
      <c r="G122" s="21">
        <f>IFERROR(__xludf.DUMMYFUNCTION("""COMPUTED_VALUE"""),22.0)</f>
        <v>22</v>
      </c>
      <c r="H122" s="82">
        <f>IFERROR(__xludf.DUMMYFUNCTION("""COMPUTED_VALUE"""),22.0)</f>
        <v>22</v>
      </c>
    </row>
    <row r="123">
      <c r="A123" s="19" t="str">
        <f>IFERROR(__xludf.DUMMYFUNCTION("""COMPUTED_VALUE"""),"KDGHV-205")</f>
        <v>KDGHV-205</v>
      </c>
      <c r="B123" s="19" t="str">
        <f>IFERROR(__xludf.DUMMYFUNCTION("""COMPUTED_VALUE"""),"Держатель горизонтальный/вертикальный жесткий открытый для 2-ух карт, внешний размер, 86x54мм")</f>
        <v>Держатель горизонтальный/вертикальный жесткий открытый для 2-ух карт, внешний размер, 86x54мм</v>
      </c>
      <c r="C123" s="21">
        <f>IFERROR(__xludf.DUMMYFUNCTION("""COMPUTED_VALUE"""),32.0)</f>
        <v>32</v>
      </c>
      <c r="D123" s="21">
        <f>IFERROR(__xludf.DUMMYFUNCTION("""COMPUTED_VALUE"""),32.0)</f>
        <v>32</v>
      </c>
      <c r="E123" s="21">
        <f>IFERROR(__xludf.DUMMYFUNCTION("""COMPUTED_VALUE"""),32.0)</f>
        <v>32</v>
      </c>
      <c r="F123" s="21">
        <f>IFERROR(__xludf.DUMMYFUNCTION("""COMPUTED_VALUE"""),32.0)</f>
        <v>32</v>
      </c>
      <c r="G123" s="21">
        <f>IFERROR(__xludf.DUMMYFUNCTION("""COMPUTED_VALUE"""),31.0)</f>
        <v>31</v>
      </c>
      <c r="H123" s="82">
        <f>IFERROR(__xludf.DUMMYFUNCTION("""COMPUTED_VALUE"""),30.0)</f>
        <v>30</v>
      </c>
    </row>
    <row r="124">
      <c r="A124" s="12" t="str">
        <f>IFERROR(__xludf.DUMMYFUNCTION("""COMPUTED_VALUE"""),"Бейджи нарукавные ")</f>
        <v>Бейджи нарукавные </v>
      </c>
      <c r="B124" s="14"/>
      <c r="C124" s="16" t="str">
        <f>IFERROR(__xludf.DUMMYFUNCTION("""COMPUTED_VALUE"""),"50 шт")</f>
        <v>50 шт</v>
      </c>
      <c r="D124" s="16" t="str">
        <f>IFERROR(__xludf.DUMMYFUNCTION("""COMPUTED_VALUE"""),"100 шт")</f>
        <v>100 шт</v>
      </c>
      <c r="E124" s="16" t="str">
        <f>IFERROR(__xludf.DUMMYFUNCTION("""COMPUTED_VALUE"""),"200 шт")</f>
        <v>200 шт</v>
      </c>
      <c r="F124" s="16" t="str">
        <f>IFERROR(__xludf.DUMMYFUNCTION("""COMPUTED_VALUE"""),"300 шт")</f>
        <v>300 шт</v>
      </c>
      <c r="G124" s="16" t="str">
        <f>IFERROR(__xludf.DUMMYFUNCTION("""COMPUTED_VALUE"""),"500 шт")</f>
        <v>500 шт</v>
      </c>
      <c r="H124" s="16" t="str">
        <f>IFERROR(__xludf.DUMMYFUNCTION("""COMPUTED_VALUE"""),"1000 шт")</f>
        <v>1000 шт</v>
      </c>
    </row>
    <row r="125">
      <c r="A125" s="19" t="str">
        <f>IFERROR(__xludf.DUMMYFUNCTION("""COMPUTED_VALUE"""),"KBR-401")</f>
        <v>KBR-401</v>
      </c>
      <c r="B125" s="19" t="str">
        <f>IFERROR(__xludf.DUMMYFUNCTION("""COMPUTED_VALUE"""),"Бейдж вертикальный нарукавный,58x110мм, толщина винила 250/500мкм")</f>
        <v>Бейдж вертикальный нарукавный,58x110мм, толщина винила 250/500мкм</v>
      </c>
      <c r="C125" s="21">
        <f>IFERROR(__xludf.DUMMYFUNCTION("""COMPUTED_VALUE"""),50.0)</f>
        <v>50</v>
      </c>
      <c r="D125" s="21">
        <f>IFERROR(__xludf.DUMMYFUNCTION("""COMPUTED_VALUE"""),50.0)</f>
        <v>50</v>
      </c>
      <c r="E125" s="21">
        <f>IFERROR(__xludf.DUMMYFUNCTION("""COMPUTED_VALUE"""),50.0)</f>
        <v>50</v>
      </c>
      <c r="F125" s="21">
        <f>IFERROR(__xludf.DUMMYFUNCTION("""COMPUTED_VALUE"""),50.0)</f>
        <v>50</v>
      </c>
      <c r="G125" s="21">
        <f>IFERROR(__xludf.DUMMYFUNCTION("""COMPUTED_VALUE"""),45.0)</f>
        <v>45</v>
      </c>
      <c r="H125" s="82">
        <f>IFERROR(__xludf.DUMMYFUNCTION("""COMPUTED_VALUE"""),45.0)</f>
        <v>45</v>
      </c>
    </row>
    <row r="126">
      <c r="A126" s="19" t="str">
        <f>IFERROR(__xludf.DUMMYFUNCTION("""COMPUTED_VALUE"""),"KBR-402 Zip")</f>
        <v>KBR-402 Zip</v>
      </c>
      <c r="B126" s="19" t="str">
        <f>IFERROR(__xludf.DUMMYFUNCTION("""COMPUTED_VALUE"""),"Бейдж вертикальный нарукавный с красной застежкой ""ZIP-LOCK"", 60x105мм, толщина винила 250/500мкм")</f>
        <v>Бейдж вертикальный нарукавный с красной застежкой "ZIP-LOCK", 60x105мм, толщина винила 250/500мкм</v>
      </c>
      <c r="C126" s="21">
        <f>IFERROR(__xludf.DUMMYFUNCTION("""COMPUTED_VALUE"""),60.0)</f>
        <v>60</v>
      </c>
      <c r="D126" s="21">
        <f>IFERROR(__xludf.DUMMYFUNCTION("""COMPUTED_VALUE"""),60.0)</f>
        <v>60</v>
      </c>
      <c r="E126" s="21">
        <f>IFERROR(__xludf.DUMMYFUNCTION("""COMPUTED_VALUE"""),60.0)</f>
        <v>60</v>
      </c>
      <c r="F126" s="21">
        <f>IFERROR(__xludf.DUMMYFUNCTION("""COMPUTED_VALUE"""),60.0)</f>
        <v>60</v>
      </c>
      <c r="G126" s="21">
        <f>IFERROR(__xludf.DUMMYFUNCTION("""COMPUTED_VALUE"""),55.0)</f>
        <v>55</v>
      </c>
      <c r="H126" s="82">
        <f>IFERROR(__xludf.DUMMYFUNCTION("""COMPUTED_VALUE"""),55.0)</f>
        <v>55</v>
      </c>
    </row>
    <row r="127">
      <c r="A127" s="12" t="str">
        <f>IFERROR(__xludf.DUMMYFUNCTION("""COMPUTED_VALUE"""),"Крепления для бейджей ")</f>
        <v>Крепления для бейджей </v>
      </c>
      <c r="B127" s="14"/>
      <c r="C127" s="16" t="str">
        <f>IFERROR(__xludf.DUMMYFUNCTION("""COMPUTED_VALUE"""),"50 шт")</f>
        <v>50 шт</v>
      </c>
      <c r="D127" s="16" t="str">
        <f>IFERROR(__xludf.DUMMYFUNCTION("""COMPUTED_VALUE"""),"100 шт")</f>
        <v>100 шт</v>
      </c>
      <c r="E127" s="16" t="str">
        <f>IFERROR(__xludf.DUMMYFUNCTION("""COMPUTED_VALUE"""),"200 шт")</f>
        <v>200 шт</v>
      </c>
      <c r="F127" s="16" t="str">
        <f>IFERROR(__xludf.DUMMYFUNCTION("""COMPUTED_VALUE"""),"300 шт")</f>
        <v>300 шт</v>
      </c>
      <c r="G127" s="16" t="str">
        <f>IFERROR(__xludf.DUMMYFUNCTION("""COMPUTED_VALUE"""),"500 шт")</f>
        <v>500 шт</v>
      </c>
      <c r="H127" s="16" t="str">
        <f>IFERROR(__xludf.DUMMYFUNCTION("""COMPUTED_VALUE"""),"1000 шт")</f>
        <v>1000 шт</v>
      </c>
    </row>
    <row r="128">
      <c r="A128" s="19" t="str">
        <f>IFERROR(__xludf.DUMMYFUNCTION("""COMPUTED_VALUE"""),"HCL-301")</f>
        <v>HCL-301</v>
      </c>
      <c r="B128" s="19" t="str">
        <f>IFERROR(__xludf.DUMMYFUNCTION("""COMPUTED_VALUE"""),"Клипса для бейджа металлическая с прозрачным ремешком")</f>
        <v>Клипса для бейджа металлическая с прозрачным ремешком</v>
      </c>
      <c r="C128" s="21">
        <f>IFERROR(__xludf.DUMMYFUNCTION("""COMPUTED_VALUE"""),10.0)</f>
        <v>10</v>
      </c>
      <c r="D128" s="21">
        <f>IFERROR(__xludf.DUMMYFUNCTION("""COMPUTED_VALUE"""),10.0)</f>
        <v>10</v>
      </c>
      <c r="E128" s="21">
        <f>IFERROR(__xludf.DUMMYFUNCTION("""COMPUTED_VALUE"""),10.0)</f>
        <v>10</v>
      </c>
      <c r="F128" s="21">
        <f>IFERROR(__xludf.DUMMYFUNCTION("""COMPUTED_VALUE"""),10.0)</f>
        <v>10</v>
      </c>
      <c r="G128" s="21">
        <f>IFERROR(__xludf.DUMMYFUNCTION("""COMPUTED_VALUE"""),10.0)</f>
        <v>10</v>
      </c>
      <c r="H128" s="82">
        <f>IFERROR(__xludf.DUMMYFUNCTION("""COMPUTED_VALUE"""),10.0)</f>
        <v>10</v>
      </c>
    </row>
    <row r="129">
      <c r="A129" s="19" t="str">
        <f>IFERROR(__xludf.DUMMYFUNCTION("""COMPUTED_VALUE"""),"HCL-302")</f>
        <v>HCL-302</v>
      </c>
      <c r="B129" s="19" t="str">
        <f>IFERROR(__xludf.DUMMYFUNCTION("""COMPUTED_VALUE"""),"Клипса для бейджа с булавкой металлическая с прозрачным ремешком")</f>
        <v>Клипса для бейджа с булавкой металлическая с прозрачным ремешком</v>
      </c>
      <c r="C129" s="21">
        <f>IFERROR(__xludf.DUMMYFUNCTION("""COMPUTED_VALUE"""),11.0)</f>
        <v>11</v>
      </c>
      <c r="D129" s="21">
        <f>IFERROR(__xludf.DUMMYFUNCTION("""COMPUTED_VALUE"""),11.0)</f>
        <v>11</v>
      </c>
      <c r="E129" s="21">
        <f>IFERROR(__xludf.DUMMYFUNCTION("""COMPUTED_VALUE"""),11.0)</f>
        <v>11</v>
      </c>
      <c r="F129" s="21">
        <f>IFERROR(__xludf.DUMMYFUNCTION("""COMPUTED_VALUE"""),11.0)</f>
        <v>11</v>
      </c>
      <c r="G129" s="21">
        <f>IFERROR(__xludf.DUMMYFUNCTION("""COMPUTED_VALUE"""),11.0)</f>
        <v>11</v>
      </c>
      <c r="H129" s="82">
        <f>IFERROR(__xludf.DUMMYFUNCTION("""COMPUTED_VALUE"""),11.0)</f>
        <v>11</v>
      </c>
    </row>
    <row r="130">
      <c r="A130" s="19" t="str">
        <f>IFERROR(__xludf.DUMMYFUNCTION("""COMPUTED_VALUE"""),"HCL-303")</f>
        <v>HCL-303</v>
      </c>
      <c r="B130" s="19" t="str">
        <f>IFERROR(__xludf.DUMMYFUNCTION("""COMPUTED_VALUE"""),"Клипса-прищепка для бейджа металлическая с полупрозрачным ремешком")</f>
        <v>Клипса-прищепка для бейджа металлическая с полупрозрачным ремешком</v>
      </c>
      <c r="C130" s="21">
        <f>IFERROR(__xludf.DUMMYFUNCTION("""COMPUTED_VALUE"""),12.0)</f>
        <v>12</v>
      </c>
      <c r="D130" s="21">
        <f>IFERROR(__xludf.DUMMYFUNCTION("""COMPUTED_VALUE"""),12.0)</f>
        <v>12</v>
      </c>
      <c r="E130" s="21">
        <f>IFERROR(__xludf.DUMMYFUNCTION("""COMPUTED_VALUE"""),12.0)</f>
        <v>12</v>
      </c>
      <c r="F130" s="21">
        <f>IFERROR(__xludf.DUMMYFUNCTION("""COMPUTED_VALUE"""),12.0)</f>
        <v>12</v>
      </c>
      <c r="G130" s="21">
        <f>IFERROR(__xludf.DUMMYFUNCTION("""COMPUTED_VALUE"""),12.0)</f>
        <v>12</v>
      </c>
      <c r="H130" s="82">
        <f>IFERROR(__xludf.DUMMYFUNCTION("""COMPUTED_VALUE"""),12.0)</f>
        <v>12</v>
      </c>
    </row>
    <row r="131">
      <c r="A131" s="19" t="str">
        <f>IFERROR(__xludf.DUMMYFUNCTION("""COMPUTED_VALUE"""),"HCL-304")</f>
        <v>HCL-304</v>
      </c>
      <c r="B131" s="19" t="str">
        <f>IFERROR(__xludf.DUMMYFUNCTION("""COMPUTED_VALUE"""),"Прозрачный переходник с кнопкой (наличие узнается у Кругликова, прозрачный переходник с ретрактора)")</f>
        <v>Прозрачный переходник с кнопкой (наличие узнается у Кругликова, прозрачный переходник с ретрактора)</v>
      </c>
      <c r="C131" s="21">
        <f>IFERROR(__xludf.DUMMYFUNCTION("""COMPUTED_VALUE"""),8.0)</f>
        <v>8</v>
      </c>
      <c r="D131" s="21">
        <f>IFERROR(__xludf.DUMMYFUNCTION("""COMPUTED_VALUE"""),8.0)</f>
        <v>8</v>
      </c>
      <c r="E131" s="21">
        <f>IFERROR(__xludf.DUMMYFUNCTION("""COMPUTED_VALUE"""),8.0)</f>
        <v>8</v>
      </c>
      <c r="F131" s="21">
        <f>IFERROR(__xludf.DUMMYFUNCTION("""COMPUTED_VALUE"""),8.0)</f>
        <v>8</v>
      </c>
      <c r="G131" s="21">
        <f>IFERROR(__xludf.DUMMYFUNCTION("""COMPUTED_VALUE"""),8.0)</f>
        <v>8</v>
      </c>
      <c r="H131" s="82">
        <f>IFERROR(__xludf.DUMMYFUNCTION("""COMPUTED_VALUE"""),8.0)</f>
        <v>8</v>
      </c>
    </row>
    <row r="132">
      <c r="A132" s="19" t="str">
        <f>IFERROR(__xludf.DUMMYFUNCTION("""COMPUTED_VALUE"""),"HCLPG - 30")</f>
        <v>HCLPG - 30</v>
      </c>
      <c r="B132" s="19" t="str">
        <f>IFERROR(__xludf.DUMMYFUNCTION("""COMPUTED_VALUE"""),"Gripper 30, Держатель для бесконтактных карт.")</f>
        <v>Gripper 30, Держатель для бесконтактных карт.</v>
      </c>
      <c r="C132" s="21">
        <f>IFERROR(__xludf.DUMMYFUNCTION("""COMPUTED_VALUE"""),20.0)</f>
        <v>20</v>
      </c>
      <c r="D132" s="21">
        <f>IFERROR(__xludf.DUMMYFUNCTION("""COMPUTED_VALUE"""),20.0)</f>
        <v>20</v>
      </c>
      <c r="E132" s="21">
        <f>IFERROR(__xludf.DUMMYFUNCTION("""COMPUTED_VALUE"""),20.0)</f>
        <v>20</v>
      </c>
      <c r="F132" s="21">
        <f>IFERROR(__xludf.DUMMYFUNCTION("""COMPUTED_VALUE"""),20.0)</f>
        <v>20</v>
      </c>
      <c r="G132" s="21">
        <f>IFERROR(__xludf.DUMMYFUNCTION("""COMPUTED_VALUE"""),20.0)</f>
        <v>20</v>
      </c>
      <c r="H132" s="82">
        <f>IFERROR(__xludf.DUMMYFUNCTION("""COMPUTED_VALUE"""),18.0)</f>
        <v>18</v>
      </c>
    </row>
    <row r="133">
      <c r="A133" s="19" t="str">
        <f>IFERROR(__xludf.DUMMYFUNCTION("""COMPUTED_VALUE"""),"ПБ-1")</f>
        <v>ПБ-1</v>
      </c>
      <c r="B133" s="19" t="str">
        <f>IFERROR(__xludf.DUMMYFUNCTION("""COMPUTED_VALUE"""),"Петля для багажной бирки, бейджа")</f>
        <v>Петля для багажной бирки, бейджа</v>
      </c>
      <c r="C133" s="21">
        <f>IFERROR(__xludf.DUMMYFUNCTION("""COMPUTED_VALUE"""),8.0)</f>
        <v>8</v>
      </c>
      <c r="D133" s="21">
        <f>IFERROR(__xludf.DUMMYFUNCTION("""COMPUTED_VALUE"""),8.0)</f>
        <v>8</v>
      </c>
      <c r="E133" s="21">
        <f>IFERROR(__xludf.DUMMYFUNCTION("""COMPUTED_VALUE"""),8.0)</f>
        <v>8</v>
      </c>
      <c r="F133" s="21">
        <f>IFERROR(__xludf.DUMMYFUNCTION("""COMPUTED_VALUE"""),8.0)</f>
        <v>8</v>
      </c>
      <c r="G133" s="21">
        <f>IFERROR(__xludf.DUMMYFUNCTION("""COMPUTED_VALUE"""),8.0)</f>
        <v>8</v>
      </c>
      <c r="H133" s="82">
        <f>IFERROR(__xludf.DUMMYFUNCTION("""COMPUTED_VALUE"""),8.0)</f>
        <v>8</v>
      </c>
    </row>
    <row r="134">
      <c r="C134" s="5"/>
      <c r="D134" s="5"/>
      <c r="E134" s="5"/>
      <c r="F134" s="5"/>
      <c r="G134" s="5"/>
      <c r="H134" s="7"/>
    </row>
    <row r="135">
      <c r="C135" s="5"/>
      <c r="D135" s="5"/>
      <c r="E135" s="5"/>
      <c r="F135" s="5"/>
      <c r="G135" s="5"/>
      <c r="H135" s="7"/>
    </row>
    <row r="136">
      <c r="C136" s="5"/>
      <c r="D136" s="5"/>
      <c r="E136" s="5"/>
      <c r="F136" s="5"/>
      <c r="G136" s="5"/>
      <c r="H136" s="7"/>
    </row>
    <row r="137">
      <c r="C137" s="5"/>
      <c r="D137" s="5"/>
      <c r="E137" s="5"/>
      <c r="F137" s="5"/>
      <c r="G137" s="5"/>
      <c r="H137" s="7"/>
    </row>
    <row r="138">
      <c r="C138" s="5"/>
      <c r="D138" s="5"/>
      <c r="E138" s="5"/>
      <c r="F138" s="5"/>
      <c r="G138" s="5"/>
      <c r="H138" s="7"/>
    </row>
    <row r="139">
      <c r="C139" s="5"/>
      <c r="D139" s="5"/>
      <c r="E139" s="5"/>
      <c r="F139" s="5"/>
      <c r="G139" s="5"/>
      <c r="H139" s="7"/>
    </row>
    <row r="140">
      <c r="C140" s="5"/>
      <c r="D140" s="5"/>
      <c r="E140" s="5"/>
      <c r="F140" s="5"/>
      <c r="G140" s="5"/>
      <c r="H140" s="7"/>
    </row>
    <row r="141">
      <c r="C141" s="5"/>
      <c r="D141" s="5"/>
      <c r="E141" s="5"/>
      <c r="F141" s="5"/>
      <c r="G141" s="5"/>
      <c r="H141" s="7"/>
    </row>
    <row r="142">
      <c r="C142" s="5"/>
      <c r="D142" s="5"/>
      <c r="E142" s="5"/>
      <c r="F142" s="5"/>
      <c r="G142" s="5"/>
      <c r="H142" s="7"/>
    </row>
    <row r="143">
      <c r="C143" s="5"/>
      <c r="D143" s="5"/>
      <c r="E143" s="5"/>
      <c r="F143" s="5"/>
      <c r="G143" s="5"/>
      <c r="H143" s="7"/>
    </row>
    <row r="144">
      <c r="C144" s="5"/>
      <c r="D144" s="5"/>
      <c r="E144" s="5"/>
      <c r="F144" s="5"/>
      <c r="G144" s="5"/>
      <c r="H144" s="7"/>
    </row>
    <row r="145">
      <c r="C145" s="5"/>
      <c r="D145" s="5"/>
      <c r="E145" s="5"/>
      <c r="F145" s="5"/>
      <c r="G145" s="5"/>
      <c r="H145" s="7"/>
    </row>
    <row r="146">
      <c r="C146" s="5"/>
      <c r="D146" s="5"/>
      <c r="E146" s="5"/>
      <c r="F146" s="5"/>
      <c r="G146" s="5"/>
      <c r="H146" s="7"/>
    </row>
    <row r="147">
      <c r="C147" s="5"/>
      <c r="D147" s="5"/>
      <c r="E147" s="5"/>
      <c r="F147" s="5"/>
      <c r="G147" s="5"/>
      <c r="H147" s="7"/>
    </row>
    <row r="148">
      <c r="C148" s="5"/>
      <c r="D148" s="5"/>
      <c r="E148" s="5"/>
      <c r="F148" s="5"/>
      <c r="G148" s="5"/>
      <c r="H148" s="7"/>
    </row>
    <row r="149">
      <c r="C149" s="5"/>
      <c r="D149" s="5"/>
      <c r="E149" s="5"/>
      <c r="F149" s="5"/>
      <c r="G149" s="5"/>
      <c r="H149" s="7"/>
    </row>
    <row r="150">
      <c r="C150" s="5"/>
      <c r="D150" s="5"/>
      <c r="E150" s="5"/>
      <c r="F150" s="5"/>
      <c r="G150" s="5"/>
      <c r="H150" s="7"/>
    </row>
    <row r="151">
      <c r="C151" s="5"/>
      <c r="D151" s="5"/>
      <c r="E151" s="5"/>
      <c r="F151" s="5"/>
      <c r="G151" s="5"/>
      <c r="H151" s="7"/>
    </row>
    <row r="152">
      <c r="C152" s="5"/>
      <c r="D152" s="5"/>
      <c r="E152" s="5"/>
      <c r="F152" s="5"/>
      <c r="G152" s="5"/>
      <c r="H152" s="7"/>
    </row>
    <row r="153">
      <c r="C153" s="5"/>
      <c r="D153" s="5"/>
      <c r="E153" s="5"/>
      <c r="F153" s="5"/>
      <c r="G153" s="5"/>
      <c r="H153" s="7"/>
    </row>
    <row r="154">
      <c r="C154" s="5"/>
      <c r="D154" s="5"/>
      <c r="E154" s="5"/>
      <c r="F154" s="5"/>
      <c r="G154" s="5"/>
      <c r="H154" s="7"/>
    </row>
    <row r="155">
      <c r="C155" s="5"/>
      <c r="D155" s="5"/>
      <c r="E155" s="5"/>
      <c r="F155" s="5"/>
      <c r="G155" s="5"/>
      <c r="H155" s="7"/>
    </row>
    <row r="156">
      <c r="C156" s="5"/>
      <c r="D156" s="5"/>
      <c r="E156" s="5"/>
      <c r="F156" s="5"/>
      <c r="G156" s="5"/>
      <c r="H156" s="7"/>
    </row>
    <row r="157">
      <c r="C157" s="5"/>
      <c r="D157" s="5"/>
      <c r="E157" s="5"/>
      <c r="F157" s="5"/>
      <c r="G157" s="5"/>
      <c r="H157" s="7"/>
    </row>
    <row r="158">
      <c r="C158" s="5"/>
      <c r="D158" s="5"/>
      <c r="E158" s="5"/>
      <c r="F158" s="5"/>
      <c r="G158" s="5"/>
      <c r="H158" s="7"/>
    </row>
    <row r="159">
      <c r="C159" s="5"/>
      <c r="D159" s="5"/>
      <c r="E159" s="5"/>
      <c r="F159" s="5"/>
      <c r="G159" s="5"/>
      <c r="H159" s="7"/>
    </row>
    <row r="160">
      <c r="C160" s="5"/>
      <c r="D160" s="5"/>
      <c r="E160" s="5"/>
      <c r="F160" s="5"/>
      <c r="G160" s="5"/>
      <c r="H160" s="7"/>
    </row>
    <row r="161">
      <c r="C161" s="5"/>
      <c r="D161" s="5"/>
      <c r="E161" s="5"/>
      <c r="F161" s="5"/>
      <c r="G161" s="5"/>
      <c r="H161" s="7"/>
    </row>
    <row r="162">
      <c r="C162" s="5"/>
      <c r="D162" s="5"/>
      <c r="E162" s="5"/>
      <c r="F162" s="5"/>
      <c r="G162" s="5"/>
      <c r="H162" s="7"/>
    </row>
    <row r="163">
      <c r="C163" s="5"/>
      <c r="D163" s="5"/>
      <c r="E163" s="5"/>
      <c r="F163" s="5"/>
      <c r="G163" s="5"/>
      <c r="H163" s="7"/>
    </row>
    <row r="164">
      <c r="C164" s="5"/>
      <c r="D164" s="5"/>
      <c r="E164" s="5"/>
      <c r="F164" s="5"/>
      <c r="G164" s="5"/>
      <c r="H164" s="7"/>
    </row>
    <row r="165">
      <c r="C165" s="5"/>
      <c r="D165" s="5"/>
      <c r="E165" s="5"/>
      <c r="F165" s="5"/>
      <c r="G165" s="5"/>
      <c r="H165" s="7"/>
    </row>
    <row r="166">
      <c r="C166" s="5"/>
      <c r="D166" s="5"/>
      <c r="E166" s="5"/>
      <c r="F166" s="5"/>
      <c r="G166" s="5"/>
      <c r="H166" s="7"/>
    </row>
    <row r="167">
      <c r="C167" s="5"/>
      <c r="D167" s="5"/>
      <c r="E167" s="5"/>
      <c r="F167" s="5"/>
      <c r="G167" s="5"/>
      <c r="H167" s="7"/>
    </row>
    <row r="168">
      <c r="C168" s="5"/>
      <c r="D168" s="5"/>
      <c r="E168" s="5"/>
      <c r="F168" s="5"/>
      <c r="G168" s="5"/>
      <c r="H168" s="7"/>
    </row>
    <row r="169">
      <c r="C169" s="5"/>
      <c r="D169" s="5"/>
      <c r="E169" s="5"/>
      <c r="F169" s="5"/>
      <c r="G169" s="5"/>
      <c r="H169" s="7"/>
    </row>
    <row r="170">
      <c r="C170" s="5"/>
      <c r="D170" s="5"/>
      <c r="E170" s="5"/>
      <c r="F170" s="5"/>
      <c r="G170" s="5"/>
      <c r="H170" s="7"/>
    </row>
    <row r="171">
      <c r="C171" s="5"/>
      <c r="D171" s="5"/>
      <c r="E171" s="5"/>
      <c r="F171" s="5"/>
      <c r="G171" s="5"/>
      <c r="H171" s="7"/>
    </row>
    <row r="172">
      <c r="C172" s="5"/>
      <c r="D172" s="5"/>
      <c r="E172" s="5"/>
      <c r="F172" s="5"/>
      <c r="G172" s="5"/>
      <c r="H172" s="7"/>
    </row>
    <row r="173">
      <c r="C173" s="5"/>
      <c r="D173" s="5"/>
      <c r="E173" s="5"/>
      <c r="F173" s="5"/>
      <c r="G173" s="5"/>
      <c r="H173" s="7"/>
    </row>
    <row r="174">
      <c r="C174" s="5"/>
      <c r="D174" s="5"/>
      <c r="E174" s="5"/>
      <c r="F174" s="5"/>
      <c r="G174" s="5"/>
      <c r="H174" s="7"/>
    </row>
    <row r="175">
      <c r="C175" s="5"/>
      <c r="D175" s="5"/>
      <c r="E175" s="5"/>
      <c r="F175" s="5"/>
      <c r="G175" s="5"/>
      <c r="H175" s="7"/>
    </row>
    <row r="176">
      <c r="C176" s="5"/>
      <c r="D176" s="5"/>
      <c r="E176" s="5"/>
      <c r="F176" s="5"/>
      <c r="G176" s="5"/>
      <c r="H176" s="7"/>
    </row>
    <row r="177">
      <c r="C177" s="5"/>
      <c r="D177" s="5"/>
      <c r="E177" s="5"/>
      <c r="F177" s="5"/>
      <c r="G177" s="5"/>
      <c r="H177" s="7"/>
    </row>
    <row r="178">
      <c r="C178" s="5"/>
      <c r="D178" s="5"/>
      <c r="E178" s="5"/>
      <c r="F178" s="5"/>
      <c r="G178" s="5"/>
      <c r="H178" s="7"/>
    </row>
    <row r="179">
      <c r="C179" s="5"/>
      <c r="D179" s="5"/>
      <c r="E179" s="5"/>
      <c r="F179" s="5"/>
      <c r="G179" s="5"/>
      <c r="H179" s="7"/>
    </row>
    <row r="180">
      <c r="C180" s="5"/>
      <c r="D180" s="5"/>
      <c r="E180" s="5"/>
      <c r="F180" s="5"/>
      <c r="G180" s="5"/>
      <c r="H180" s="7"/>
    </row>
    <row r="181">
      <c r="C181" s="5"/>
      <c r="D181" s="5"/>
      <c r="E181" s="5"/>
      <c r="F181" s="5"/>
      <c r="G181" s="5"/>
      <c r="H181" s="7"/>
    </row>
    <row r="182">
      <c r="C182" s="5"/>
      <c r="D182" s="5"/>
      <c r="E182" s="5"/>
      <c r="F182" s="5"/>
      <c r="G182" s="5"/>
      <c r="H182" s="7"/>
    </row>
    <row r="183">
      <c r="C183" s="5"/>
      <c r="D183" s="5"/>
      <c r="E183" s="5"/>
      <c r="F183" s="5"/>
      <c r="G183" s="5"/>
      <c r="H183" s="7"/>
    </row>
    <row r="184">
      <c r="C184" s="5"/>
      <c r="D184" s="5"/>
      <c r="E184" s="5"/>
      <c r="F184" s="5"/>
      <c r="G184" s="5"/>
      <c r="H184" s="7"/>
    </row>
    <row r="185">
      <c r="C185" s="5"/>
      <c r="D185" s="5"/>
      <c r="E185" s="5"/>
      <c r="F185" s="5"/>
      <c r="G185" s="5"/>
      <c r="H185" s="7"/>
    </row>
    <row r="186">
      <c r="C186" s="5"/>
      <c r="D186" s="5"/>
      <c r="E186" s="5"/>
      <c r="F186" s="5"/>
      <c r="G186" s="5"/>
      <c r="H186" s="7"/>
    </row>
    <row r="187">
      <c r="C187" s="5"/>
      <c r="D187" s="5"/>
      <c r="E187" s="5"/>
      <c r="F187" s="5"/>
      <c r="G187" s="5"/>
      <c r="H187" s="7"/>
    </row>
    <row r="188">
      <c r="C188" s="5"/>
      <c r="D188" s="5"/>
      <c r="E188" s="5"/>
      <c r="F188" s="5"/>
      <c r="G188" s="5"/>
      <c r="H188" s="7"/>
    </row>
    <row r="189">
      <c r="C189" s="5"/>
      <c r="D189" s="5"/>
      <c r="E189" s="5"/>
      <c r="F189" s="5"/>
      <c r="G189" s="5"/>
      <c r="H189" s="7"/>
    </row>
    <row r="190">
      <c r="C190" s="5"/>
      <c r="D190" s="5"/>
      <c r="E190" s="5"/>
      <c r="F190" s="5"/>
      <c r="G190" s="5"/>
      <c r="H190" s="7"/>
    </row>
    <row r="191">
      <c r="C191" s="5"/>
      <c r="D191" s="5"/>
      <c r="E191" s="5"/>
      <c r="F191" s="5"/>
      <c r="G191" s="5"/>
      <c r="H191" s="7"/>
    </row>
    <row r="192">
      <c r="C192" s="5"/>
      <c r="D192" s="5"/>
      <c r="E192" s="5"/>
      <c r="F192" s="5"/>
      <c r="G192" s="5"/>
      <c r="H192" s="7"/>
    </row>
    <row r="193">
      <c r="C193" s="5"/>
      <c r="D193" s="5"/>
      <c r="E193" s="5"/>
      <c r="F193" s="5"/>
      <c r="G193" s="5"/>
      <c r="H193" s="7"/>
    </row>
    <row r="194">
      <c r="C194" s="5"/>
      <c r="D194" s="5"/>
      <c r="E194" s="5"/>
      <c r="F194" s="5"/>
      <c r="G194" s="5"/>
      <c r="H194" s="7"/>
    </row>
    <row r="195">
      <c r="C195" s="5"/>
      <c r="D195" s="5"/>
      <c r="E195" s="5"/>
      <c r="F195" s="5"/>
      <c r="G195" s="5"/>
      <c r="H195" s="7"/>
    </row>
    <row r="196">
      <c r="C196" s="5"/>
      <c r="D196" s="5"/>
      <c r="E196" s="5"/>
      <c r="F196" s="5"/>
      <c r="G196" s="5"/>
      <c r="H196" s="7"/>
    </row>
    <row r="197">
      <c r="C197" s="5"/>
      <c r="D197" s="5"/>
      <c r="E197" s="5"/>
      <c r="F197" s="5"/>
      <c r="G197" s="5"/>
      <c r="H197" s="7"/>
    </row>
    <row r="198">
      <c r="C198" s="5"/>
      <c r="D198" s="5"/>
      <c r="E198" s="5"/>
      <c r="F198" s="5"/>
      <c r="G198" s="5"/>
      <c r="H198" s="7"/>
    </row>
    <row r="199">
      <c r="C199" s="5"/>
      <c r="D199" s="5"/>
      <c r="E199" s="5"/>
      <c r="F199" s="5"/>
      <c r="G199" s="5"/>
      <c r="H199" s="7"/>
    </row>
    <row r="200">
      <c r="C200" s="5"/>
      <c r="D200" s="5"/>
      <c r="E200" s="5"/>
      <c r="F200" s="5"/>
      <c r="G200" s="5"/>
      <c r="H200" s="7"/>
    </row>
    <row r="201">
      <c r="C201" s="5"/>
      <c r="D201" s="5"/>
      <c r="E201" s="5"/>
      <c r="F201" s="5"/>
      <c r="G201" s="5"/>
      <c r="H201" s="7"/>
    </row>
    <row r="202">
      <c r="C202" s="5"/>
      <c r="D202" s="5"/>
      <c r="E202" s="5"/>
      <c r="F202" s="5"/>
      <c r="G202" s="5"/>
      <c r="H202" s="7"/>
    </row>
    <row r="203">
      <c r="C203" s="5"/>
      <c r="D203" s="5"/>
      <c r="E203" s="5"/>
      <c r="F203" s="5"/>
      <c r="G203" s="5"/>
      <c r="H203" s="7"/>
    </row>
    <row r="204">
      <c r="C204" s="5"/>
      <c r="D204" s="5"/>
      <c r="E204" s="5"/>
      <c r="F204" s="5"/>
      <c r="G204" s="5"/>
      <c r="H204" s="7"/>
    </row>
    <row r="205">
      <c r="C205" s="5"/>
      <c r="D205" s="5"/>
      <c r="E205" s="5"/>
      <c r="F205" s="5"/>
      <c r="G205" s="5"/>
      <c r="H205" s="7"/>
    </row>
    <row r="206">
      <c r="C206" s="5"/>
      <c r="D206" s="5"/>
      <c r="E206" s="5"/>
      <c r="F206" s="5"/>
      <c r="G206" s="5"/>
      <c r="H206" s="7"/>
    </row>
    <row r="207">
      <c r="C207" s="5"/>
      <c r="D207" s="5"/>
      <c r="E207" s="5"/>
      <c r="F207" s="5"/>
      <c r="G207" s="5"/>
      <c r="H207" s="7"/>
    </row>
    <row r="208">
      <c r="C208" s="5"/>
      <c r="D208" s="5"/>
      <c r="E208" s="5"/>
      <c r="F208" s="5"/>
      <c r="G208" s="5"/>
      <c r="H208" s="7"/>
    </row>
    <row r="209">
      <c r="C209" s="5"/>
      <c r="D209" s="5"/>
      <c r="E209" s="5"/>
      <c r="F209" s="5"/>
      <c r="G209" s="5"/>
      <c r="H209" s="7"/>
    </row>
    <row r="210">
      <c r="C210" s="5"/>
      <c r="D210" s="5"/>
      <c r="E210" s="5"/>
      <c r="F210" s="5"/>
      <c r="G210" s="5"/>
      <c r="H210" s="7"/>
    </row>
    <row r="211">
      <c r="C211" s="5"/>
      <c r="D211" s="5"/>
      <c r="E211" s="5"/>
      <c r="F211" s="5"/>
      <c r="G211" s="5"/>
      <c r="H211" s="7"/>
    </row>
    <row r="212">
      <c r="C212" s="5"/>
      <c r="D212" s="5"/>
      <c r="E212" s="5"/>
      <c r="F212" s="5"/>
      <c r="G212" s="5"/>
      <c r="H212" s="7"/>
    </row>
    <row r="213">
      <c r="C213" s="5"/>
      <c r="D213" s="5"/>
      <c r="E213" s="5"/>
      <c r="F213" s="5"/>
      <c r="G213" s="5"/>
      <c r="H213" s="7"/>
    </row>
    <row r="214">
      <c r="C214" s="5"/>
      <c r="D214" s="5"/>
      <c r="E214" s="5"/>
      <c r="F214" s="5"/>
      <c r="G214" s="5"/>
      <c r="H214" s="7"/>
    </row>
    <row r="215">
      <c r="C215" s="5"/>
      <c r="D215" s="5"/>
      <c r="E215" s="5"/>
      <c r="F215" s="5"/>
      <c r="G215" s="5"/>
      <c r="H215" s="7"/>
    </row>
    <row r="216">
      <c r="C216" s="5"/>
      <c r="D216" s="5"/>
      <c r="E216" s="5"/>
      <c r="F216" s="5"/>
      <c r="G216" s="5"/>
      <c r="H216" s="7"/>
    </row>
    <row r="217">
      <c r="C217" s="5"/>
      <c r="D217" s="5"/>
      <c r="E217" s="5"/>
      <c r="F217" s="5"/>
      <c r="G217" s="5"/>
      <c r="H217" s="7"/>
    </row>
    <row r="218">
      <c r="C218" s="5"/>
      <c r="D218" s="5"/>
      <c r="E218" s="5"/>
      <c r="F218" s="5"/>
      <c r="G218" s="5"/>
      <c r="H218" s="7"/>
    </row>
    <row r="219">
      <c r="C219" s="5"/>
      <c r="D219" s="5"/>
      <c r="E219" s="5"/>
      <c r="F219" s="5"/>
      <c r="G219" s="5"/>
      <c r="H219" s="7"/>
    </row>
    <row r="220">
      <c r="C220" s="5"/>
      <c r="D220" s="5"/>
      <c r="E220" s="5"/>
      <c r="F220" s="5"/>
      <c r="G220" s="5"/>
      <c r="H220" s="7"/>
    </row>
    <row r="221">
      <c r="C221" s="5"/>
      <c r="D221" s="5"/>
      <c r="E221" s="5"/>
      <c r="F221" s="5"/>
      <c r="G221" s="5"/>
      <c r="H221" s="7"/>
    </row>
    <row r="222">
      <c r="C222" s="5"/>
      <c r="D222" s="5"/>
      <c r="E222" s="5"/>
      <c r="F222" s="5"/>
      <c r="G222" s="5"/>
      <c r="H222" s="7"/>
    </row>
    <row r="223">
      <c r="C223" s="5"/>
      <c r="D223" s="5"/>
      <c r="E223" s="5"/>
      <c r="F223" s="5"/>
      <c r="G223" s="5"/>
      <c r="H223" s="7"/>
    </row>
    <row r="224">
      <c r="C224" s="5"/>
      <c r="D224" s="5"/>
      <c r="E224" s="5"/>
      <c r="F224" s="5"/>
      <c r="G224" s="5"/>
      <c r="H224" s="7"/>
    </row>
    <row r="225">
      <c r="C225" s="5"/>
      <c r="D225" s="5"/>
      <c r="E225" s="5"/>
      <c r="F225" s="5"/>
      <c r="G225" s="5"/>
      <c r="H225" s="7"/>
    </row>
    <row r="226">
      <c r="C226" s="5"/>
      <c r="D226" s="5"/>
      <c r="E226" s="5"/>
      <c r="F226" s="5"/>
      <c r="G226" s="5"/>
      <c r="H226" s="7"/>
    </row>
    <row r="227">
      <c r="C227" s="5"/>
      <c r="D227" s="5"/>
      <c r="E227" s="5"/>
      <c r="F227" s="5"/>
      <c r="G227" s="5"/>
      <c r="H227" s="7"/>
    </row>
    <row r="228">
      <c r="C228" s="5"/>
      <c r="D228" s="5"/>
      <c r="E228" s="5"/>
      <c r="F228" s="5"/>
      <c r="G228" s="5"/>
      <c r="H228" s="7"/>
    </row>
    <row r="229">
      <c r="C229" s="5"/>
      <c r="D229" s="5"/>
      <c r="E229" s="5"/>
      <c r="F229" s="5"/>
      <c r="G229" s="5"/>
      <c r="H229" s="7"/>
    </row>
    <row r="230">
      <c r="C230" s="5"/>
      <c r="D230" s="5"/>
      <c r="E230" s="5"/>
      <c r="F230" s="5"/>
      <c r="G230" s="5"/>
      <c r="H230" s="7"/>
    </row>
    <row r="231">
      <c r="C231" s="5"/>
      <c r="D231" s="5"/>
      <c r="E231" s="5"/>
      <c r="F231" s="5"/>
      <c r="G231" s="5"/>
      <c r="H231" s="7"/>
    </row>
    <row r="232">
      <c r="C232" s="5"/>
      <c r="D232" s="5"/>
      <c r="E232" s="5"/>
      <c r="F232" s="5"/>
      <c r="G232" s="5"/>
      <c r="H232" s="7"/>
    </row>
    <row r="233">
      <c r="C233" s="5"/>
      <c r="D233" s="5"/>
      <c r="E233" s="5"/>
      <c r="F233" s="5"/>
      <c r="G233" s="5"/>
      <c r="H233" s="7"/>
    </row>
    <row r="234">
      <c r="C234" s="5"/>
      <c r="D234" s="5"/>
      <c r="E234" s="5"/>
      <c r="F234" s="5"/>
      <c r="G234" s="5"/>
      <c r="H234" s="7"/>
    </row>
    <row r="235">
      <c r="C235" s="5"/>
      <c r="D235" s="5"/>
      <c r="E235" s="5"/>
      <c r="F235" s="5"/>
      <c r="G235" s="5"/>
      <c r="H235" s="7"/>
    </row>
    <row r="236">
      <c r="C236" s="5"/>
      <c r="D236" s="5"/>
      <c r="E236" s="5"/>
      <c r="F236" s="5"/>
      <c r="G236" s="5"/>
      <c r="H236" s="7"/>
    </row>
    <row r="237">
      <c r="C237" s="5"/>
      <c r="D237" s="5"/>
      <c r="E237" s="5"/>
      <c r="F237" s="5"/>
      <c r="G237" s="5"/>
      <c r="H237" s="7"/>
    </row>
    <row r="238">
      <c r="C238" s="5"/>
      <c r="D238" s="5"/>
      <c r="E238" s="5"/>
      <c r="F238" s="5"/>
      <c r="G238" s="5"/>
      <c r="H238" s="7"/>
    </row>
    <row r="239">
      <c r="C239" s="5"/>
      <c r="D239" s="5"/>
      <c r="E239" s="5"/>
      <c r="F239" s="5"/>
      <c r="G239" s="5"/>
      <c r="H239" s="7"/>
    </row>
    <row r="240">
      <c r="C240" s="5"/>
      <c r="D240" s="5"/>
      <c r="E240" s="5"/>
      <c r="F240" s="5"/>
      <c r="G240" s="5"/>
      <c r="H240" s="7"/>
    </row>
    <row r="241">
      <c r="C241" s="5"/>
      <c r="D241" s="5"/>
      <c r="E241" s="5"/>
      <c r="F241" s="5"/>
      <c r="G241" s="5"/>
      <c r="H241" s="7"/>
    </row>
    <row r="242">
      <c r="C242" s="5"/>
      <c r="D242" s="5"/>
      <c r="E242" s="5"/>
      <c r="F242" s="5"/>
      <c r="G242" s="5"/>
      <c r="H242" s="7"/>
    </row>
    <row r="243">
      <c r="C243" s="5"/>
      <c r="D243" s="5"/>
      <c r="E243" s="5"/>
      <c r="F243" s="5"/>
      <c r="G243" s="5"/>
      <c r="H243" s="7"/>
    </row>
    <row r="244">
      <c r="C244" s="5"/>
      <c r="D244" s="5"/>
      <c r="E244" s="5"/>
      <c r="F244" s="5"/>
      <c r="G244" s="5"/>
      <c r="H244" s="7"/>
    </row>
    <row r="245">
      <c r="C245" s="5"/>
      <c r="D245" s="5"/>
      <c r="E245" s="5"/>
      <c r="F245" s="5"/>
      <c r="G245" s="5"/>
      <c r="H245" s="7"/>
    </row>
    <row r="246">
      <c r="C246" s="5"/>
      <c r="D246" s="5"/>
      <c r="E246" s="5"/>
      <c r="F246" s="5"/>
      <c r="G246" s="5"/>
      <c r="H246" s="7"/>
    </row>
    <row r="247">
      <c r="C247" s="5"/>
      <c r="D247" s="5"/>
      <c r="E247" s="5"/>
      <c r="F247" s="5"/>
      <c r="G247" s="5"/>
      <c r="H247" s="7"/>
    </row>
    <row r="248">
      <c r="C248" s="5"/>
      <c r="D248" s="5"/>
      <c r="E248" s="5"/>
      <c r="F248" s="5"/>
      <c r="G248" s="5"/>
      <c r="H248" s="7"/>
    </row>
    <row r="249">
      <c r="C249" s="5"/>
      <c r="D249" s="5"/>
      <c r="E249" s="5"/>
      <c r="F249" s="5"/>
      <c r="G249" s="5"/>
      <c r="H249" s="7"/>
    </row>
    <row r="250">
      <c r="C250" s="5"/>
      <c r="D250" s="5"/>
      <c r="E250" s="5"/>
      <c r="F250" s="5"/>
      <c r="G250" s="5"/>
      <c r="H250" s="7"/>
    </row>
    <row r="251">
      <c r="C251" s="5"/>
      <c r="D251" s="5"/>
      <c r="E251" s="5"/>
      <c r="F251" s="5"/>
      <c r="G251" s="5"/>
      <c r="H251" s="7"/>
    </row>
    <row r="252">
      <c r="C252" s="5"/>
      <c r="D252" s="5"/>
      <c r="E252" s="5"/>
      <c r="F252" s="5"/>
      <c r="G252" s="5"/>
      <c r="H252" s="7"/>
    </row>
    <row r="253">
      <c r="C253" s="5"/>
      <c r="D253" s="5"/>
      <c r="E253" s="5"/>
      <c r="F253" s="5"/>
      <c r="G253" s="5"/>
      <c r="H253" s="7"/>
    </row>
    <row r="254">
      <c r="C254" s="5"/>
      <c r="D254" s="5"/>
      <c r="E254" s="5"/>
      <c r="F254" s="5"/>
      <c r="G254" s="5"/>
      <c r="H254" s="7"/>
    </row>
    <row r="255">
      <c r="C255" s="5"/>
      <c r="D255" s="5"/>
      <c r="E255" s="5"/>
      <c r="F255" s="5"/>
      <c r="G255" s="5"/>
      <c r="H255" s="7"/>
    </row>
    <row r="256">
      <c r="C256" s="5"/>
      <c r="D256" s="5"/>
      <c r="E256" s="5"/>
      <c r="F256" s="5"/>
      <c r="G256" s="5"/>
      <c r="H256" s="7"/>
    </row>
    <row r="257">
      <c r="C257" s="5"/>
      <c r="D257" s="5"/>
      <c r="E257" s="5"/>
      <c r="F257" s="5"/>
      <c r="G257" s="5"/>
      <c r="H257" s="7"/>
    </row>
    <row r="258">
      <c r="C258" s="5"/>
      <c r="D258" s="5"/>
      <c r="E258" s="5"/>
      <c r="F258" s="5"/>
      <c r="G258" s="5"/>
      <c r="H258" s="7"/>
    </row>
    <row r="259">
      <c r="C259" s="5"/>
      <c r="D259" s="5"/>
      <c r="E259" s="5"/>
      <c r="F259" s="5"/>
      <c r="G259" s="5"/>
      <c r="H259" s="7"/>
    </row>
    <row r="260">
      <c r="C260" s="5"/>
      <c r="D260" s="5"/>
      <c r="E260" s="5"/>
      <c r="F260" s="5"/>
      <c r="G260" s="5"/>
      <c r="H260" s="7"/>
    </row>
    <row r="261">
      <c r="C261" s="5"/>
      <c r="D261" s="5"/>
      <c r="E261" s="5"/>
      <c r="F261" s="5"/>
      <c r="G261" s="5"/>
      <c r="H261" s="7"/>
    </row>
    <row r="262">
      <c r="C262" s="5"/>
      <c r="D262" s="5"/>
      <c r="E262" s="5"/>
      <c r="F262" s="5"/>
      <c r="G262" s="5"/>
      <c r="H262" s="7"/>
    </row>
    <row r="263">
      <c r="C263" s="5"/>
      <c r="D263" s="5"/>
      <c r="E263" s="5"/>
      <c r="F263" s="5"/>
      <c r="G263" s="5"/>
      <c r="H263" s="7"/>
    </row>
    <row r="264">
      <c r="C264" s="5"/>
      <c r="D264" s="5"/>
      <c r="E264" s="5"/>
      <c r="F264" s="5"/>
      <c r="G264" s="5"/>
      <c r="H264" s="7"/>
    </row>
    <row r="265">
      <c r="C265" s="5"/>
      <c r="D265" s="5"/>
      <c r="E265" s="5"/>
      <c r="F265" s="5"/>
      <c r="G265" s="5"/>
      <c r="H265" s="7"/>
    </row>
    <row r="266">
      <c r="C266" s="5"/>
      <c r="D266" s="5"/>
      <c r="E266" s="5"/>
      <c r="F266" s="5"/>
      <c r="G266" s="5"/>
      <c r="H266" s="7"/>
    </row>
    <row r="267">
      <c r="C267" s="5"/>
      <c r="D267" s="5"/>
      <c r="E267" s="5"/>
      <c r="F267" s="5"/>
      <c r="G267" s="5"/>
      <c r="H267" s="7"/>
    </row>
    <row r="268">
      <c r="C268" s="5"/>
      <c r="D268" s="5"/>
      <c r="E268" s="5"/>
      <c r="F268" s="5"/>
      <c r="G268" s="5"/>
      <c r="H268" s="7"/>
    </row>
    <row r="269">
      <c r="C269" s="5"/>
      <c r="D269" s="5"/>
      <c r="E269" s="5"/>
      <c r="F269" s="5"/>
      <c r="G269" s="5"/>
      <c r="H269" s="7"/>
    </row>
    <row r="270">
      <c r="C270" s="5"/>
      <c r="D270" s="5"/>
      <c r="E270" s="5"/>
      <c r="F270" s="5"/>
      <c r="G270" s="5"/>
      <c r="H270" s="7"/>
    </row>
    <row r="271">
      <c r="C271" s="5"/>
      <c r="D271" s="5"/>
      <c r="E271" s="5"/>
      <c r="F271" s="5"/>
      <c r="G271" s="5"/>
      <c r="H271" s="7"/>
    </row>
    <row r="272">
      <c r="C272" s="5"/>
      <c r="D272" s="5"/>
      <c r="E272" s="5"/>
      <c r="F272" s="5"/>
      <c r="G272" s="5"/>
      <c r="H272" s="7"/>
    </row>
    <row r="273">
      <c r="C273" s="5"/>
      <c r="D273" s="5"/>
      <c r="E273" s="5"/>
      <c r="F273" s="5"/>
      <c r="G273" s="5"/>
      <c r="H273" s="7"/>
    </row>
    <row r="274">
      <c r="C274" s="5"/>
      <c r="D274" s="5"/>
      <c r="E274" s="5"/>
      <c r="F274" s="5"/>
      <c r="G274" s="5"/>
      <c r="H274" s="7"/>
    </row>
    <row r="275">
      <c r="C275" s="5"/>
      <c r="D275" s="5"/>
      <c r="E275" s="5"/>
      <c r="F275" s="5"/>
      <c r="G275" s="5"/>
      <c r="H275" s="7"/>
    </row>
    <row r="276">
      <c r="C276" s="5"/>
      <c r="D276" s="5"/>
      <c r="E276" s="5"/>
      <c r="F276" s="5"/>
      <c r="G276" s="5"/>
      <c r="H276" s="7"/>
    </row>
    <row r="277">
      <c r="C277" s="5"/>
      <c r="D277" s="5"/>
      <c r="E277" s="5"/>
      <c r="F277" s="5"/>
      <c r="G277" s="5"/>
      <c r="H277" s="7"/>
    </row>
    <row r="278">
      <c r="C278" s="5"/>
      <c r="D278" s="5"/>
      <c r="E278" s="5"/>
      <c r="F278" s="5"/>
      <c r="G278" s="5"/>
      <c r="H278" s="7"/>
    </row>
    <row r="279">
      <c r="C279" s="5"/>
      <c r="D279" s="5"/>
      <c r="E279" s="5"/>
      <c r="F279" s="5"/>
      <c r="G279" s="5"/>
      <c r="H279" s="7"/>
    </row>
    <row r="280">
      <c r="C280" s="5"/>
      <c r="D280" s="5"/>
      <c r="E280" s="5"/>
      <c r="F280" s="5"/>
      <c r="G280" s="5"/>
      <c r="H280" s="7"/>
    </row>
    <row r="281">
      <c r="C281" s="5"/>
      <c r="D281" s="5"/>
      <c r="E281" s="5"/>
      <c r="F281" s="5"/>
      <c r="G281" s="5"/>
      <c r="H281" s="7"/>
    </row>
    <row r="282">
      <c r="C282" s="5"/>
      <c r="D282" s="5"/>
      <c r="E282" s="5"/>
      <c r="F282" s="5"/>
      <c r="G282" s="5"/>
      <c r="H282" s="7"/>
    </row>
    <row r="283">
      <c r="C283" s="5"/>
      <c r="D283" s="5"/>
      <c r="E283" s="5"/>
      <c r="F283" s="5"/>
      <c r="G283" s="5"/>
      <c r="H283" s="7"/>
    </row>
    <row r="284">
      <c r="C284" s="5"/>
      <c r="D284" s="5"/>
      <c r="E284" s="5"/>
      <c r="F284" s="5"/>
      <c r="G284" s="5"/>
      <c r="H284" s="7"/>
    </row>
    <row r="285">
      <c r="C285" s="5"/>
      <c r="D285" s="5"/>
      <c r="E285" s="5"/>
      <c r="F285" s="5"/>
      <c r="G285" s="5"/>
      <c r="H285" s="7"/>
    </row>
    <row r="286">
      <c r="C286" s="5"/>
      <c r="D286" s="5"/>
      <c r="E286" s="5"/>
      <c r="F286" s="5"/>
      <c r="G286" s="5"/>
      <c r="H286" s="7"/>
    </row>
    <row r="287">
      <c r="C287" s="5"/>
      <c r="D287" s="5"/>
      <c r="E287" s="5"/>
      <c r="F287" s="5"/>
      <c r="G287" s="5"/>
      <c r="H287" s="7"/>
    </row>
    <row r="288">
      <c r="C288" s="5"/>
      <c r="D288" s="5"/>
      <c r="E288" s="5"/>
      <c r="F288" s="5"/>
      <c r="G288" s="5"/>
      <c r="H288" s="7"/>
    </row>
    <row r="289">
      <c r="C289" s="5"/>
      <c r="D289" s="5"/>
      <c r="E289" s="5"/>
      <c r="F289" s="5"/>
      <c r="G289" s="5"/>
      <c r="H289" s="7"/>
    </row>
    <row r="290">
      <c r="C290" s="5"/>
      <c r="D290" s="5"/>
      <c r="E290" s="5"/>
      <c r="F290" s="5"/>
      <c r="G290" s="5"/>
      <c r="H290" s="7"/>
    </row>
    <row r="291">
      <c r="C291" s="5"/>
      <c r="D291" s="5"/>
      <c r="E291" s="5"/>
      <c r="F291" s="5"/>
      <c r="G291" s="5"/>
      <c r="H291" s="7"/>
    </row>
    <row r="292">
      <c r="C292" s="5"/>
      <c r="D292" s="5"/>
      <c r="E292" s="5"/>
      <c r="F292" s="5"/>
      <c r="G292" s="5"/>
      <c r="H292" s="7"/>
    </row>
    <row r="293">
      <c r="C293" s="5"/>
      <c r="D293" s="5"/>
      <c r="E293" s="5"/>
      <c r="F293" s="5"/>
      <c r="G293" s="5"/>
      <c r="H293" s="7"/>
    </row>
    <row r="294">
      <c r="C294" s="5"/>
      <c r="D294" s="5"/>
      <c r="E294" s="5"/>
      <c r="F294" s="5"/>
      <c r="G294" s="5"/>
      <c r="H294" s="7"/>
    </row>
    <row r="295">
      <c r="C295" s="5"/>
      <c r="D295" s="5"/>
      <c r="E295" s="5"/>
      <c r="F295" s="5"/>
      <c r="G295" s="5"/>
      <c r="H295" s="7"/>
    </row>
    <row r="296">
      <c r="C296" s="5"/>
      <c r="D296" s="5"/>
      <c r="E296" s="5"/>
      <c r="F296" s="5"/>
      <c r="G296" s="5"/>
      <c r="H296" s="7"/>
    </row>
    <row r="297">
      <c r="C297" s="5"/>
      <c r="D297" s="5"/>
      <c r="E297" s="5"/>
      <c r="F297" s="5"/>
      <c r="G297" s="5"/>
      <c r="H297" s="7"/>
    </row>
    <row r="298">
      <c r="C298" s="5"/>
      <c r="D298" s="5"/>
      <c r="E298" s="5"/>
      <c r="F298" s="5"/>
      <c r="G298" s="5"/>
      <c r="H298" s="7"/>
    </row>
    <row r="299">
      <c r="C299" s="5"/>
      <c r="D299" s="5"/>
      <c r="E299" s="5"/>
      <c r="F299" s="5"/>
      <c r="G299" s="5"/>
      <c r="H299" s="7"/>
    </row>
    <row r="300">
      <c r="C300" s="5"/>
      <c r="D300" s="5"/>
      <c r="E300" s="5"/>
      <c r="F300" s="5"/>
      <c r="G300" s="5"/>
      <c r="H300" s="7"/>
    </row>
    <row r="301">
      <c r="C301" s="5"/>
      <c r="D301" s="5"/>
      <c r="E301" s="5"/>
      <c r="F301" s="5"/>
      <c r="G301" s="5"/>
      <c r="H301" s="7"/>
    </row>
    <row r="302">
      <c r="C302" s="5"/>
      <c r="D302" s="5"/>
      <c r="E302" s="5"/>
      <c r="F302" s="5"/>
      <c r="G302" s="5"/>
      <c r="H302" s="7"/>
    </row>
    <row r="303">
      <c r="C303" s="5"/>
      <c r="D303" s="5"/>
      <c r="E303" s="5"/>
      <c r="F303" s="5"/>
      <c r="G303" s="5"/>
      <c r="H303" s="7"/>
    </row>
    <row r="304">
      <c r="C304" s="5"/>
      <c r="D304" s="5"/>
      <c r="E304" s="5"/>
      <c r="F304" s="5"/>
      <c r="G304" s="5"/>
      <c r="H304" s="7"/>
    </row>
    <row r="305">
      <c r="C305" s="5"/>
      <c r="D305" s="5"/>
      <c r="E305" s="5"/>
      <c r="F305" s="5"/>
      <c r="G305" s="5"/>
      <c r="H305" s="7"/>
    </row>
    <row r="306">
      <c r="C306" s="5"/>
      <c r="D306" s="5"/>
      <c r="E306" s="5"/>
      <c r="F306" s="5"/>
      <c r="G306" s="5"/>
      <c r="H306" s="7"/>
    </row>
    <row r="307">
      <c r="C307" s="5"/>
      <c r="D307" s="5"/>
      <c r="E307" s="5"/>
      <c r="F307" s="5"/>
      <c r="G307" s="5"/>
      <c r="H307" s="7"/>
    </row>
    <row r="308">
      <c r="C308" s="5"/>
      <c r="D308" s="5"/>
      <c r="E308" s="5"/>
      <c r="F308" s="5"/>
      <c r="G308" s="5"/>
      <c r="H308" s="7"/>
    </row>
    <row r="309">
      <c r="C309" s="5"/>
      <c r="D309" s="5"/>
      <c r="E309" s="5"/>
      <c r="F309" s="5"/>
      <c r="G309" s="5"/>
      <c r="H309" s="7"/>
    </row>
    <row r="310">
      <c r="C310" s="5"/>
      <c r="D310" s="5"/>
      <c r="E310" s="5"/>
      <c r="F310" s="5"/>
      <c r="G310" s="5"/>
      <c r="H310" s="7"/>
    </row>
    <row r="311">
      <c r="C311" s="5"/>
      <c r="D311" s="5"/>
      <c r="E311" s="5"/>
      <c r="F311" s="5"/>
      <c r="G311" s="5"/>
      <c r="H311" s="7"/>
    </row>
    <row r="312">
      <c r="C312" s="5"/>
      <c r="D312" s="5"/>
      <c r="E312" s="5"/>
      <c r="F312" s="5"/>
      <c r="G312" s="5"/>
      <c r="H312" s="7"/>
    </row>
    <row r="313">
      <c r="C313" s="5"/>
      <c r="D313" s="5"/>
      <c r="E313" s="5"/>
      <c r="F313" s="5"/>
      <c r="G313" s="5"/>
      <c r="H313" s="7"/>
    </row>
    <row r="314">
      <c r="C314" s="5"/>
      <c r="D314" s="5"/>
      <c r="E314" s="5"/>
      <c r="F314" s="5"/>
      <c r="G314" s="5"/>
      <c r="H314" s="7"/>
    </row>
    <row r="315">
      <c r="C315" s="5"/>
      <c r="D315" s="5"/>
      <c r="E315" s="5"/>
      <c r="F315" s="5"/>
      <c r="G315" s="5"/>
      <c r="H315" s="7"/>
    </row>
    <row r="316">
      <c r="C316" s="5"/>
      <c r="D316" s="5"/>
      <c r="E316" s="5"/>
      <c r="F316" s="5"/>
      <c r="G316" s="5"/>
      <c r="H316" s="7"/>
    </row>
    <row r="317">
      <c r="C317" s="5"/>
      <c r="D317" s="5"/>
      <c r="E317" s="5"/>
      <c r="F317" s="5"/>
      <c r="G317" s="5"/>
      <c r="H317" s="7"/>
    </row>
    <row r="318">
      <c r="C318" s="5"/>
      <c r="D318" s="5"/>
      <c r="E318" s="5"/>
      <c r="F318" s="5"/>
      <c r="G318" s="5"/>
      <c r="H318" s="7"/>
    </row>
    <row r="319">
      <c r="C319" s="5"/>
      <c r="D319" s="5"/>
      <c r="E319" s="5"/>
      <c r="F319" s="5"/>
      <c r="G319" s="5"/>
      <c r="H319" s="7"/>
    </row>
    <row r="320">
      <c r="C320" s="5"/>
      <c r="D320" s="5"/>
      <c r="E320" s="5"/>
      <c r="F320" s="5"/>
      <c r="G320" s="5"/>
      <c r="H320" s="7"/>
    </row>
    <row r="321">
      <c r="C321" s="5"/>
      <c r="D321" s="5"/>
      <c r="E321" s="5"/>
      <c r="F321" s="5"/>
      <c r="G321" s="5"/>
      <c r="H321" s="7"/>
    </row>
    <row r="322">
      <c r="C322" s="5"/>
      <c r="D322" s="5"/>
      <c r="E322" s="5"/>
      <c r="F322" s="5"/>
      <c r="G322" s="5"/>
      <c r="H322" s="7"/>
    </row>
    <row r="323">
      <c r="C323" s="5"/>
      <c r="D323" s="5"/>
      <c r="E323" s="5"/>
      <c r="F323" s="5"/>
      <c r="G323" s="5"/>
      <c r="H323" s="7"/>
    </row>
    <row r="324">
      <c r="C324" s="5"/>
      <c r="D324" s="5"/>
      <c r="E324" s="5"/>
      <c r="F324" s="5"/>
      <c r="G324" s="5"/>
      <c r="H324" s="7"/>
    </row>
    <row r="325">
      <c r="C325" s="5"/>
      <c r="D325" s="5"/>
      <c r="E325" s="5"/>
      <c r="F325" s="5"/>
      <c r="G325" s="5"/>
      <c r="H325" s="7"/>
    </row>
    <row r="326">
      <c r="C326" s="5"/>
      <c r="D326" s="5"/>
      <c r="E326" s="5"/>
      <c r="F326" s="5"/>
      <c r="G326" s="5"/>
      <c r="H326" s="7"/>
    </row>
    <row r="327">
      <c r="C327" s="5"/>
      <c r="D327" s="5"/>
      <c r="E327" s="5"/>
      <c r="F327" s="5"/>
      <c r="G327" s="5"/>
      <c r="H327" s="7"/>
    </row>
    <row r="328">
      <c r="C328" s="5"/>
      <c r="D328" s="5"/>
      <c r="E328" s="5"/>
      <c r="F328" s="5"/>
      <c r="G328" s="5"/>
      <c r="H328" s="7"/>
    </row>
    <row r="329">
      <c r="C329" s="5"/>
      <c r="D329" s="5"/>
      <c r="E329" s="5"/>
      <c r="F329" s="5"/>
      <c r="G329" s="5"/>
      <c r="H329" s="7"/>
    </row>
    <row r="330">
      <c r="C330" s="5"/>
      <c r="D330" s="5"/>
      <c r="E330" s="5"/>
      <c r="F330" s="5"/>
      <c r="G330" s="5"/>
      <c r="H330" s="7"/>
    </row>
    <row r="331">
      <c r="C331" s="5"/>
      <c r="D331" s="5"/>
      <c r="E331" s="5"/>
      <c r="F331" s="5"/>
      <c r="G331" s="5"/>
      <c r="H331" s="7"/>
    </row>
    <row r="332">
      <c r="C332" s="5"/>
      <c r="D332" s="5"/>
      <c r="E332" s="5"/>
      <c r="F332" s="5"/>
      <c r="G332" s="5"/>
      <c r="H332" s="7"/>
    </row>
    <row r="333">
      <c r="C333" s="5"/>
      <c r="D333" s="5"/>
      <c r="E333" s="5"/>
      <c r="F333" s="5"/>
      <c r="G333" s="5"/>
      <c r="H333" s="7"/>
    </row>
    <row r="334">
      <c r="C334" s="5"/>
      <c r="D334" s="5"/>
      <c r="E334" s="5"/>
      <c r="F334" s="5"/>
      <c r="G334" s="5"/>
      <c r="H334" s="7"/>
    </row>
    <row r="335">
      <c r="C335" s="5"/>
      <c r="D335" s="5"/>
      <c r="E335" s="5"/>
      <c r="F335" s="5"/>
      <c r="G335" s="5"/>
      <c r="H335" s="7"/>
    </row>
    <row r="336">
      <c r="C336" s="5"/>
      <c r="D336" s="5"/>
      <c r="E336" s="5"/>
      <c r="F336" s="5"/>
      <c r="G336" s="5"/>
      <c r="H336" s="7"/>
    </row>
    <row r="337">
      <c r="C337" s="5"/>
      <c r="D337" s="5"/>
      <c r="E337" s="5"/>
      <c r="F337" s="5"/>
      <c r="G337" s="5"/>
      <c r="H337" s="7"/>
    </row>
    <row r="338">
      <c r="C338" s="5"/>
      <c r="D338" s="5"/>
      <c r="E338" s="5"/>
      <c r="F338" s="5"/>
      <c r="G338" s="5"/>
      <c r="H338" s="7"/>
    </row>
    <row r="339">
      <c r="C339" s="5"/>
      <c r="D339" s="5"/>
      <c r="E339" s="5"/>
      <c r="F339" s="5"/>
      <c r="G339" s="5"/>
      <c r="H339" s="7"/>
    </row>
    <row r="340">
      <c r="C340" s="5"/>
      <c r="D340" s="5"/>
      <c r="E340" s="5"/>
      <c r="F340" s="5"/>
      <c r="G340" s="5"/>
      <c r="H340" s="7"/>
    </row>
    <row r="341">
      <c r="C341" s="5"/>
      <c r="D341" s="5"/>
      <c r="E341" s="5"/>
      <c r="F341" s="5"/>
      <c r="G341" s="5"/>
      <c r="H341" s="7"/>
    </row>
    <row r="342">
      <c r="C342" s="5"/>
      <c r="D342" s="5"/>
      <c r="E342" s="5"/>
      <c r="F342" s="5"/>
      <c r="G342" s="5"/>
      <c r="H342" s="7"/>
    </row>
    <row r="343">
      <c r="C343" s="5"/>
      <c r="D343" s="5"/>
      <c r="E343" s="5"/>
      <c r="F343" s="5"/>
      <c r="G343" s="5"/>
      <c r="H343" s="7"/>
    </row>
    <row r="344">
      <c r="C344" s="5"/>
      <c r="D344" s="5"/>
      <c r="E344" s="5"/>
      <c r="F344" s="5"/>
      <c r="G344" s="5"/>
      <c r="H344" s="7"/>
    </row>
    <row r="345">
      <c r="C345" s="5"/>
      <c r="D345" s="5"/>
      <c r="E345" s="5"/>
      <c r="F345" s="5"/>
      <c r="G345" s="5"/>
      <c r="H345" s="7"/>
    </row>
    <row r="346">
      <c r="C346" s="5"/>
      <c r="D346" s="5"/>
      <c r="E346" s="5"/>
      <c r="F346" s="5"/>
      <c r="G346" s="5"/>
      <c r="H346" s="7"/>
    </row>
    <row r="347">
      <c r="C347" s="5"/>
      <c r="D347" s="5"/>
      <c r="E347" s="5"/>
      <c r="F347" s="5"/>
      <c r="G347" s="5"/>
      <c r="H347" s="7"/>
    </row>
    <row r="348">
      <c r="C348" s="5"/>
      <c r="D348" s="5"/>
      <c r="E348" s="5"/>
      <c r="F348" s="5"/>
      <c r="G348" s="5"/>
      <c r="H348" s="7"/>
    </row>
    <row r="349">
      <c r="C349" s="5"/>
      <c r="D349" s="5"/>
      <c r="E349" s="5"/>
      <c r="F349" s="5"/>
      <c r="G349" s="5"/>
      <c r="H349" s="7"/>
    </row>
    <row r="350">
      <c r="C350" s="5"/>
      <c r="D350" s="5"/>
      <c r="E350" s="5"/>
      <c r="F350" s="5"/>
      <c r="G350" s="5"/>
      <c r="H350" s="7"/>
    </row>
    <row r="351">
      <c r="C351" s="5"/>
      <c r="D351" s="5"/>
      <c r="E351" s="5"/>
      <c r="F351" s="5"/>
      <c r="G351" s="5"/>
      <c r="H351" s="7"/>
    </row>
    <row r="352">
      <c r="C352" s="5"/>
      <c r="D352" s="5"/>
      <c r="E352" s="5"/>
      <c r="F352" s="5"/>
      <c r="G352" s="5"/>
      <c r="H352" s="7"/>
    </row>
    <row r="353">
      <c r="C353" s="5"/>
      <c r="D353" s="5"/>
      <c r="E353" s="5"/>
      <c r="F353" s="5"/>
      <c r="G353" s="5"/>
      <c r="H353" s="7"/>
    </row>
    <row r="354">
      <c r="C354" s="5"/>
      <c r="D354" s="5"/>
      <c r="E354" s="5"/>
      <c r="F354" s="5"/>
      <c r="G354" s="5"/>
      <c r="H354" s="7"/>
    </row>
    <row r="355">
      <c r="C355" s="5"/>
      <c r="D355" s="5"/>
      <c r="E355" s="5"/>
      <c r="F355" s="5"/>
      <c r="G355" s="5"/>
      <c r="H355" s="7"/>
    </row>
    <row r="356">
      <c r="C356" s="5"/>
      <c r="D356" s="5"/>
      <c r="E356" s="5"/>
      <c r="F356" s="5"/>
      <c r="G356" s="5"/>
      <c r="H356" s="7"/>
    </row>
    <row r="357">
      <c r="C357" s="5"/>
      <c r="D357" s="5"/>
      <c r="E357" s="5"/>
      <c r="F357" s="5"/>
      <c r="G357" s="5"/>
      <c r="H357" s="7"/>
    </row>
    <row r="358">
      <c r="C358" s="5"/>
      <c r="D358" s="5"/>
      <c r="E358" s="5"/>
      <c r="F358" s="5"/>
      <c r="G358" s="5"/>
      <c r="H358" s="7"/>
    </row>
    <row r="359">
      <c r="C359" s="5"/>
      <c r="D359" s="5"/>
      <c r="E359" s="5"/>
      <c r="F359" s="5"/>
      <c r="G359" s="5"/>
      <c r="H359" s="7"/>
    </row>
    <row r="360">
      <c r="C360" s="5"/>
      <c r="D360" s="5"/>
      <c r="E360" s="5"/>
      <c r="F360" s="5"/>
      <c r="G360" s="5"/>
      <c r="H360" s="7"/>
    </row>
    <row r="361">
      <c r="C361" s="5"/>
      <c r="D361" s="5"/>
      <c r="E361" s="5"/>
      <c r="F361" s="5"/>
      <c r="G361" s="5"/>
      <c r="H361" s="7"/>
    </row>
    <row r="362">
      <c r="C362" s="5"/>
      <c r="D362" s="5"/>
      <c r="E362" s="5"/>
      <c r="F362" s="5"/>
      <c r="G362" s="5"/>
      <c r="H362" s="7"/>
    </row>
    <row r="363">
      <c r="C363" s="5"/>
      <c r="D363" s="5"/>
      <c r="E363" s="5"/>
      <c r="F363" s="5"/>
      <c r="G363" s="5"/>
      <c r="H363" s="7"/>
    </row>
    <row r="364">
      <c r="C364" s="5"/>
      <c r="D364" s="5"/>
      <c r="E364" s="5"/>
      <c r="F364" s="5"/>
      <c r="G364" s="5"/>
      <c r="H364" s="7"/>
    </row>
    <row r="365">
      <c r="C365" s="5"/>
      <c r="D365" s="5"/>
      <c r="E365" s="5"/>
      <c r="F365" s="5"/>
      <c r="G365" s="5"/>
      <c r="H365" s="7"/>
    </row>
    <row r="366">
      <c r="C366" s="5"/>
      <c r="D366" s="5"/>
      <c r="E366" s="5"/>
      <c r="F366" s="5"/>
      <c r="G366" s="5"/>
      <c r="H366" s="7"/>
    </row>
    <row r="367">
      <c r="C367" s="5"/>
      <c r="D367" s="5"/>
      <c r="E367" s="5"/>
      <c r="F367" s="5"/>
      <c r="G367" s="5"/>
      <c r="H367" s="7"/>
    </row>
    <row r="368">
      <c r="C368" s="5"/>
      <c r="D368" s="5"/>
      <c r="E368" s="5"/>
      <c r="F368" s="5"/>
      <c r="G368" s="5"/>
      <c r="H368" s="7"/>
    </row>
    <row r="369">
      <c r="C369" s="5"/>
      <c r="D369" s="5"/>
      <c r="E369" s="5"/>
      <c r="F369" s="5"/>
      <c r="G369" s="5"/>
      <c r="H369" s="7"/>
    </row>
    <row r="370">
      <c r="C370" s="5"/>
      <c r="D370" s="5"/>
      <c r="E370" s="5"/>
      <c r="F370" s="5"/>
      <c r="G370" s="5"/>
      <c r="H370" s="7"/>
    </row>
    <row r="371">
      <c r="C371" s="5"/>
      <c r="D371" s="5"/>
      <c r="E371" s="5"/>
      <c r="F371" s="5"/>
      <c r="G371" s="5"/>
      <c r="H371" s="7"/>
    </row>
    <row r="372">
      <c r="C372" s="5"/>
      <c r="D372" s="5"/>
      <c r="E372" s="5"/>
      <c r="F372" s="5"/>
      <c r="G372" s="5"/>
      <c r="H372" s="7"/>
    </row>
    <row r="373">
      <c r="C373" s="5"/>
      <c r="D373" s="5"/>
      <c r="E373" s="5"/>
      <c r="F373" s="5"/>
      <c r="G373" s="5"/>
      <c r="H373" s="7"/>
    </row>
    <row r="374">
      <c r="C374" s="5"/>
      <c r="D374" s="5"/>
      <c r="E374" s="5"/>
      <c r="F374" s="5"/>
      <c r="G374" s="5"/>
      <c r="H374" s="7"/>
    </row>
    <row r="375">
      <c r="C375" s="5"/>
      <c r="D375" s="5"/>
      <c r="E375" s="5"/>
      <c r="F375" s="5"/>
      <c r="G375" s="5"/>
      <c r="H375" s="7"/>
    </row>
    <row r="376">
      <c r="C376" s="5"/>
      <c r="D376" s="5"/>
      <c r="E376" s="5"/>
      <c r="F376" s="5"/>
      <c r="G376" s="5"/>
      <c r="H376" s="7"/>
    </row>
    <row r="377">
      <c r="C377" s="5"/>
      <c r="D377" s="5"/>
      <c r="E377" s="5"/>
      <c r="F377" s="5"/>
      <c r="G377" s="5"/>
      <c r="H377" s="7"/>
    </row>
    <row r="378">
      <c r="C378" s="5"/>
      <c r="D378" s="5"/>
      <c r="E378" s="5"/>
      <c r="F378" s="5"/>
      <c r="G378" s="5"/>
      <c r="H378" s="7"/>
    </row>
    <row r="379">
      <c r="C379" s="5"/>
      <c r="D379" s="5"/>
      <c r="E379" s="5"/>
      <c r="F379" s="5"/>
      <c r="G379" s="5"/>
      <c r="H379" s="7"/>
    </row>
    <row r="380">
      <c r="C380" s="5"/>
      <c r="D380" s="5"/>
      <c r="E380" s="5"/>
      <c r="F380" s="5"/>
      <c r="G380" s="5"/>
      <c r="H380" s="7"/>
    </row>
    <row r="381">
      <c r="C381" s="5"/>
      <c r="D381" s="5"/>
      <c r="E381" s="5"/>
      <c r="F381" s="5"/>
      <c r="G381" s="5"/>
      <c r="H381" s="7"/>
    </row>
    <row r="382">
      <c r="C382" s="5"/>
      <c r="D382" s="5"/>
      <c r="E382" s="5"/>
      <c r="F382" s="5"/>
      <c r="G382" s="5"/>
      <c r="H382" s="7"/>
    </row>
    <row r="383">
      <c r="C383" s="5"/>
      <c r="D383" s="5"/>
      <c r="E383" s="5"/>
      <c r="F383" s="5"/>
      <c r="G383" s="5"/>
      <c r="H383" s="7"/>
    </row>
    <row r="384">
      <c r="C384" s="5"/>
      <c r="D384" s="5"/>
      <c r="E384" s="5"/>
      <c r="F384" s="5"/>
      <c r="G384" s="5"/>
      <c r="H384" s="7"/>
    </row>
    <row r="385">
      <c r="C385" s="5"/>
      <c r="D385" s="5"/>
      <c r="E385" s="5"/>
      <c r="F385" s="5"/>
      <c r="G385" s="5"/>
      <c r="H385" s="7"/>
    </row>
    <row r="386">
      <c r="C386" s="5"/>
      <c r="D386" s="5"/>
      <c r="E386" s="5"/>
      <c r="F386" s="5"/>
      <c r="G386" s="5"/>
      <c r="H386" s="7"/>
    </row>
    <row r="387">
      <c r="C387" s="5"/>
      <c r="D387" s="5"/>
      <c r="E387" s="5"/>
      <c r="F387" s="5"/>
      <c r="G387" s="5"/>
      <c r="H387" s="7"/>
    </row>
    <row r="388">
      <c r="C388" s="5"/>
      <c r="D388" s="5"/>
      <c r="E388" s="5"/>
      <c r="F388" s="5"/>
      <c r="G388" s="5"/>
      <c r="H388" s="7"/>
    </row>
    <row r="389">
      <c r="C389" s="5"/>
      <c r="D389" s="5"/>
      <c r="E389" s="5"/>
      <c r="F389" s="5"/>
      <c r="G389" s="5"/>
      <c r="H389" s="7"/>
    </row>
    <row r="390">
      <c r="C390" s="5"/>
      <c r="D390" s="5"/>
      <c r="E390" s="5"/>
      <c r="F390" s="5"/>
      <c r="G390" s="5"/>
      <c r="H390" s="7"/>
    </row>
    <row r="391">
      <c r="C391" s="5"/>
      <c r="D391" s="5"/>
      <c r="E391" s="5"/>
      <c r="F391" s="5"/>
      <c r="G391" s="5"/>
      <c r="H391" s="7"/>
    </row>
    <row r="392">
      <c r="C392" s="5"/>
      <c r="D392" s="5"/>
      <c r="E392" s="5"/>
      <c r="F392" s="5"/>
      <c r="G392" s="5"/>
      <c r="H392" s="7"/>
    </row>
    <row r="393">
      <c r="C393" s="5"/>
      <c r="D393" s="5"/>
      <c r="E393" s="5"/>
      <c r="F393" s="5"/>
      <c r="G393" s="5"/>
      <c r="H393" s="7"/>
    </row>
    <row r="394">
      <c r="C394" s="5"/>
      <c r="D394" s="5"/>
      <c r="E394" s="5"/>
      <c r="F394" s="5"/>
      <c r="G394" s="5"/>
      <c r="H394" s="7"/>
    </row>
    <row r="395">
      <c r="C395" s="5"/>
      <c r="D395" s="5"/>
      <c r="E395" s="5"/>
      <c r="F395" s="5"/>
      <c r="G395" s="5"/>
      <c r="H395" s="7"/>
    </row>
    <row r="396">
      <c r="C396" s="5"/>
      <c r="D396" s="5"/>
      <c r="E396" s="5"/>
      <c r="F396" s="5"/>
      <c r="G396" s="5"/>
      <c r="H396" s="7"/>
    </row>
    <row r="397">
      <c r="C397" s="5"/>
      <c r="D397" s="5"/>
      <c r="E397" s="5"/>
      <c r="F397" s="5"/>
      <c r="G397" s="5"/>
      <c r="H397" s="7"/>
    </row>
    <row r="398">
      <c r="C398" s="5"/>
      <c r="D398" s="5"/>
      <c r="E398" s="5"/>
      <c r="F398" s="5"/>
      <c r="G398" s="5"/>
      <c r="H398" s="7"/>
    </row>
    <row r="399">
      <c r="C399" s="5"/>
      <c r="D399" s="5"/>
      <c r="E399" s="5"/>
      <c r="F399" s="5"/>
      <c r="G399" s="5"/>
      <c r="H399" s="7"/>
    </row>
    <row r="400">
      <c r="C400" s="5"/>
      <c r="D400" s="5"/>
      <c r="E400" s="5"/>
      <c r="F400" s="5"/>
      <c r="G400" s="5"/>
      <c r="H400" s="7"/>
    </row>
    <row r="401">
      <c r="C401" s="5"/>
      <c r="D401" s="5"/>
      <c r="E401" s="5"/>
      <c r="F401" s="5"/>
      <c r="G401" s="5"/>
      <c r="H401" s="7"/>
    </row>
    <row r="402">
      <c r="C402" s="5"/>
      <c r="D402" s="5"/>
      <c r="E402" s="5"/>
      <c r="F402" s="5"/>
      <c r="G402" s="5"/>
      <c r="H402" s="7"/>
    </row>
    <row r="403">
      <c r="C403" s="5"/>
      <c r="D403" s="5"/>
      <c r="E403" s="5"/>
      <c r="F403" s="5"/>
      <c r="G403" s="5"/>
      <c r="H403" s="7"/>
    </row>
    <row r="404">
      <c r="C404" s="5"/>
      <c r="D404" s="5"/>
      <c r="E404" s="5"/>
      <c r="F404" s="5"/>
      <c r="G404" s="5"/>
      <c r="H404" s="7"/>
    </row>
    <row r="405">
      <c r="C405" s="5"/>
      <c r="D405" s="5"/>
      <c r="E405" s="5"/>
      <c r="F405" s="5"/>
      <c r="G405" s="5"/>
      <c r="H405" s="7"/>
    </row>
    <row r="406">
      <c r="C406" s="5"/>
      <c r="D406" s="5"/>
      <c r="E406" s="5"/>
      <c r="F406" s="5"/>
      <c r="G406" s="5"/>
      <c r="H406" s="7"/>
    </row>
    <row r="407">
      <c r="C407" s="5"/>
      <c r="D407" s="5"/>
      <c r="E407" s="5"/>
      <c r="F407" s="5"/>
      <c r="G407" s="5"/>
      <c r="H407" s="7"/>
    </row>
    <row r="408">
      <c r="C408" s="5"/>
      <c r="D408" s="5"/>
      <c r="E408" s="5"/>
      <c r="F408" s="5"/>
      <c r="G408" s="5"/>
      <c r="H408" s="7"/>
    </row>
    <row r="409">
      <c r="C409" s="5"/>
      <c r="D409" s="5"/>
      <c r="E409" s="5"/>
      <c r="F409" s="5"/>
      <c r="G409" s="5"/>
      <c r="H409" s="7"/>
    </row>
    <row r="410">
      <c r="C410" s="5"/>
      <c r="D410" s="5"/>
      <c r="E410" s="5"/>
      <c r="F410" s="5"/>
      <c r="G410" s="5"/>
      <c r="H410" s="7"/>
    </row>
    <row r="411">
      <c r="C411" s="5"/>
      <c r="D411" s="5"/>
      <c r="E411" s="5"/>
      <c r="F411" s="5"/>
      <c r="G411" s="5"/>
      <c r="H411" s="7"/>
    </row>
    <row r="412">
      <c r="C412" s="5"/>
      <c r="D412" s="5"/>
      <c r="E412" s="5"/>
      <c r="F412" s="5"/>
      <c r="G412" s="5"/>
      <c r="H412" s="7"/>
    </row>
    <row r="413">
      <c r="C413" s="5"/>
      <c r="D413" s="5"/>
      <c r="E413" s="5"/>
      <c r="F413" s="5"/>
      <c r="G413" s="5"/>
      <c r="H413" s="7"/>
    </row>
    <row r="414">
      <c r="C414" s="5"/>
      <c r="D414" s="5"/>
      <c r="E414" s="5"/>
      <c r="F414" s="5"/>
      <c r="G414" s="5"/>
      <c r="H414" s="7"/>
    </row>
    <row r="415">
      <c r="C415" s="5"/>
      <c r="D415" s="5"/>
      <c r="E415" s="5"/>
      <c r="F415" s="5"/>
      <c r="G415" s="5"/>
      <c r="H415" s="7"/>
    </row>
    <row r="416">
      <c r="C416" s="5"/>
      <c r="D416" s="5"/>
      <c r="E416" s="5"/>
      <c r="F416" s="5"/>
      <c r="G416" s="5"/>
      <c r="H416" s="7"/>
    </row>
    <row r="417">
      <c r="C417" s="5"/>
      <c r="D417" s="5"/>
      <c r="E417" s="5"/>
      <c r="F417" s="5"/>
      <c r="G417" s="5"/>
      <c r="H417" s="7"/>
    </row>
    <row r="418">
      <c r="C418" s="5"/>
      <c r="D418" s="5"/>
      <c r="E418" s="5"/>
      <c r="F418" s="5"/>
      <c r="G418" s="5"/>
      <c r="H418" s="7"/>
    </row>
    <row r="419">
      <c r="C419" s="5"/>
      <c r="D419" s="5"/>
      <c r="E419" s="5"/>
      <c r="F419" s="5"/>
      <c r="G419" s="5"/>
      <c r="H419" s="7"/>
    </row>
    <row r="420">
      <c r="C420" s="5"/>
      <c r="D420" s="5"/>
      <c r="E420" s="5"/>
      <c r="F420" s="5"/>
      <c r="G420" s="5"/>
      <c r="H420" s="7"/>
    </row>
    <row r="421">
      <c r="C421" s="5"/>
      <c r="D421" s="5"/>
      <c r="E421" s="5"/>
      <c r="F421" s="5"/>
      <c r="G421" s="5"/>
      <c r="H421" s="7"/>
    </row>
    <row r="422">
      <c r="C422" s="5"/>
      <c r="D422" s="5"/>
      <c r="E422" s="5"/>
      <c r="F422" s="5"/>
      <c r="G422" s="5"/>
      <c r="H422" s="7"/>
    </row>
    <row r="423">
      <c r="C423" s="5"/>
      <c r="D423" s="5"/>
      <c r="E423" s="5"/>
      <c r="F423" s="5"/>
      <c r="G423" s="5"/>
      <c r="H423" s="7"/>
    </row>
    <row r="424">
      <c r="C424" s="5"/>
      <c r="D424" s="5"/>
      <c r="E424" s="5"/>
      <c r="F424" s="5"/>
      <c r="G424" s="5"/>
      <c r="H424" s="7"/>
    </row>
    <row r="425">
      <c r="C425" s="5"/>
      <c r="D425" s="5"/>
      <c r="E425" s="5"/>
      <c r="F425" s="5"/>
      <c r="G425" s="5"/>
      <c r="H425" s="7"/>
    </row>
    <row r="426">
      <c r="C426" s="5"/>
      <c r="D426" s="5"/>
      <c r="E426" s="5"/>
      <c r="F426" s="5"/>
      <c r="G426" s="5"/>
      <c r="H426" s="7"/>
    </row>
    <row r="427">
      <c r="C427" s="5"/>
      <c r="D427" s="5"/>
      <c r="E427" s="5"/>
      <c r="F427" s="5"/>
      <c r="G427" s="5"/>
      <c r="H427" s="7"/>
    </row>
    <row r="428">
      <c r="C428" s="5"/>
      <c r="D428" s="5"/>
      <c r="E428" s="5"/>
      <c r="F428" s="5"/>
      <c r="G428" s="5"/>
      <c r="H428" s="7"/>
    </row>
    <row r="429">
      <c r="C429" s="5"/>
      <c r="D429" s="5"/>
      <c r="E429" s="5"/>
      <c r="F429" s="5"/>
      <c r="G429" s="5"/>
      <c r="H429" s="7"/>
    </row>
    <row r="430">
      <c r="C430" s="5"/>
      <c r="D430" s="5"/>
      <c r="E430" s="5"/>
      <c r="F430" s="5"/>
      <c r="G430" s="5"/>
      <c r="H430" s="7"/>
    </row>
    <row r="431">
      <c r="C431" s="5"/>
      <c r="D431" s="5"/>
      <c r="E431" s="5"/>
      <c r="F431" s="5"/>
      <c r="G431" s="5"/>
      <c r="H431" s="7"/>
    </row>
    <row r="432">
      <c r="C432" s="5"/>
      <c r="D432" s="5"/>
      <c r="E432" s="5"/>
      <c r="F432" s="5"/>
      <c r="G432" s="5"/>
      <c r="H432" s="7"/>
    </row>
    <row r="433">
      <c r="C433" s="5"/>
      <c r="D433" s="5"/>
      <c r="E433" s="5"/>
      <c r="F433" s="5"/>
      <c r="G433" s="5"/>
      <c r="H433" s="7"/>
    </row>
    <row r="434">
      <c r="C434" s="5"/>
      <c r="D434" s="5"/>
      <c r="E434" s="5"/>
      <c r="F434" s="5"/>
      <c r="G434" s="5"/>
      <c r="H434" s="7"/>
    </row>
    <row r="435">
      <c r="C435" s="5"/>
      <c r="D435" s="5"/>
      <c r="E435" s="5"/>
      <c r="F435" s="5"/>
      <c r="G435" s="5"/>
      <c r="H435" s="7"/>
    </row>
    <row r="436">
      <c r="C436" s="5"/>
      <c r="D436" s="5"/>
      <c r="E436" s="5"/>
      <c r="F436" s="5"/>
      <c r="G436" s="5"/>
      <c r="H436" s="7"/>
    </row>
    <row r="437">
      <c r="C437" s="5"/>
      <c r="D437" s="5"/>
      <c r="E437" s="5"/>
      <c r="F437" s="5"/>
      <c r="G437" s="5"/>
      <c r="H437" s="7"/>
    </row>
    <row r="438">
      <c r="C438" s="5"/>
      <c r="D438" s="5"/>
      <c r="E438" s="5"/>
      <c r="F438" s="5"/>
      <c r="G438" s="5"/>
      <c r="H438" s="7"/>
    </row>
    <row r="439">
      <c r="C439" s="5"/>
      <c r="D439" s="5"/>
      <c r="E439" s="5"/>
      <c r="F439" s="5"/>
      <c r="G439" s="5"/>
      <c r="H439" s="7"/>
    </row>
    <row r="440">
      <c r="C440" s="5"/>
      <c r="D440" s="5"/>
      <c r="E440" s="5"/>
      <c r="F440" s="5"/>
      <c r="G440" s="5"/>
      <c r="H440" s="7"/>
    </row>
    <row r="441">
      <c r="C441" s="5"/>
      <c r="D441" s="5"/>
      <c r="E441" s="5"/>
      <c r="F441" s="5"/>
      <c r="G441" s="5"/>
      <c r="H441" s="7"/>
    </row>
    <row r="442">
      <c r="C442" s="5"/>
      <c r="D442" s="5"/>
      <c r="E442" s="5"/>
      <c r="F442" s="5"/>
      <c r="G442" s="5"/>
      <c r="H442" s="7"/>
    </row>
    <row r="443">
      <c r="C443" s="5"/>
      <c r="D443" s="5"/>
      <c r="E443" s="5"/>
      <c r="F443" s="5"/>
      <c r="G443" s="5"/>
      <c r="H443" s="7"/>
    </row>
    <row r="444">
      <c r="C444" s="5"/>
      <c r="D444" s="5"/>
      <c r="E444" s="5"/>
      <c r="F444" s="5"/>
      <c r="G444" s="5"/>
      <c r="H444" s="7"/>
    </row>
    <row r="445">
      <c r="C445" s="5"/>
      <c r="D445" s="5"/>
      <c r="E445" s="5"/>
      <c r="F445" s="5"/>
      <c r="G445" s="5"/>
      <c r="H445" s="7"/>
    </row>
    <row r="446">
      <c r="C446" s="5"/>
      <c r="D446" s="5"/>
      <c r="E446" s="5"/>
      <c r="F446" s="5"/>
      <c r="G446" s="5"/>
      <c r="H446" s="7"/>
    </row>
    <row r="447">
      <c r="C447" s="5"/>
      <c r="D447" s="5"/>
      <c r="E447" s="5"/>
      <c r="F447" s="5"/>
      <c r="G447" s="5"/>
      <c r="H447" s="7"/>
    </row>
    <row r="448">
      <c r="C448" s="5"/>
      <c r="D448" s="5"/>
      <c r="E448" s="5"/>
      <c r="F448" s="5"/>
      <c r="G448" s="5"/>
      <c r="H448" s="7"/>
    </row>
    <row r="449">
      <c r="C449" s="5"/>
      <c r="D449" s="5"/>
      <c r="E449" s="5"/>
      <c r="F449" s="5"/>
      <c r="G449" s="5"/>
      <c r="H449" s="7"/>
    </row>
    <row r="450">
      <c r="C450" s="5"/>
      <c r="D450" s="5"/>
      <c r="E450" s="5"/>
      <c r="F450" s="5"/>
      <c r="G450" s="5"/>
      <c r="H450" s="7"/>
    </row>
    <row r="451">
      <c r="C451" s="5"/>
      <c r="D451" s="5"/>
      <c r="E451" s="5"/>
      <c r="F451" s="5"/>
      <c r="G451" s="5"/>
      <c r="H451" s="7"/>
    </row>
    <row r="452">
      <c r="C452" s="5"/>
      <c r="D452" s="5"/>
      <c r="E452" s="5"/>
      <c r="F452" s="5"/>
      <c r="G452" s="5"/>
      <c r="H452" s="7"/>
    </row>
    <row r="453">
      <c r="C453" s="5"/>
      <c r="D453" s="5"/>
      <c r="E453" s="5"/>
      <c r="F453" s="5"/>
      <c r="G453" s="5"/>
      <c r="H453" s="7"/>
    </row>
    <row r="454">
      <c r="C454" s="5"/>
      <c r="D454" s="5"/>
      <c r="E454" s="5"/>
      <c r="F454" s="5"/>
      <c r="G454" s="5"/>
      <c r="H454" s="7"/>
    </row>
    <row r="455">
      <c r="C455" s="5"/>
      <c r="D455" s="5"/>
      <c r="E455" s="5"/>
      <c r="F455" s="5"/>
      <c r="G455" s="5"/>
      <c r="H455" s="7"/>
    </row>
    <row r="456">
      <c r="C456" s="5"/>
      <c r="D456" s="5"/>
      <c r="E456" s="5"/>
      <c r="F456" s="5"/>
      <c r="G456" s="5"/>
      <c r="H456" s="7"/>
    </row>
    <row r="457">
      <c r="C457" s="5"/>
      <c r="D457" s="5"/>
      <c r="E457" s="5"/>
      <c r="F457" s="5"/>
      <c r="G457" s="5"/>
      <c r="H457" s="7"/>
    </row>
    <row r="458">
      <c r="C458" s="5"/>
      <c r="D458" s="5"/>
      <c r="E458" s="5"/>
      <c r="F458" s="5"/>
      <c r="G458" s="5"/>
      <c r="H458" s="7"/>
    </row>
    <row r="459">
      <c r="C459" s="5"/>
      <c r="D459" s="5"/>
      <c r="E459" s="5"/>
      <c r="F459" s="5"/>
      <c r="G459" s="5"/>
      <c r="H459" s="7"/>
    </row>
    <row r="460">
      <c r="C460" s="5"/>
      <c r="D460" s="5"/>
      <c r="E460" s="5"/>
      <c r="F460" s="5"/>
      <c r="G460" s="5"/>
      <c r="H460" s="7"/>
    </row>
    <row r="461">
      <c r="C461" s="5"/>
      <c r="D461" s="5"/>
      <c r="E461" s="5"/>
      <c r="F461" s="5"/>
      <c r="G461" s="5"/>
      <c r="H461" s="7"/>
    </row>
    <row r="462">
      <c r="C462" s="5"/>
      <c r="D462" s="5"/>
      <c r="E462" s="5"/>
      <c r="F462" s="5"/>
      <c r="G462" s="5"/>
      <c r="H462" s="7"/>
    </row>
    <row r="463">
      <c r="C463" s="5"/>
      <c r="D463" s="5"/>
      <c r="E463" s="5"/>
      <c r="F463" s="5"/>
      <c r="G463" s="5"/>
      <c r="H463" s="7"/>
    </row>
    <row r="464">
      <c r="C464" s="5"/>
      <c r="D464" s="5"/>
      <c r="E464" s="5"/>
      <c r="F464" s="5"/>
      <c r="G464" s="5"/>
      <c r="H464" s="7"/>
    </row>
    <row r="465">
      <c r="C465" s="5"/>
      <c r="D465" s="5"/>
      <c r="E465" s="5"/>
      <c r="F465" s="5"/>
      <c r="G465" s="5"/>
      <c r="H465" s="7"/>
    </row>
    <row r="466">
      <c r="C466" s="5"/>
      <c r="D466" s="5"/>
      <c r="E466" s="5"/>
      <c r="F466" s="5"/>
      <c r="G466" s="5"/>
      <c r="H466" s="7"/>
    </row>
    <row r="467">
      <c r="C467" s="5"/>
      <c r="D467" s="5"/>
      <c r="E467" s="5"/>
      <c r="F467" s="5"/>
      <c r="G467" s="5"/>
      <c r="H467" s="7"/>
    </row>
    <row r="468">
      <c r="C468" s="5"/>
      <c r="D468" s="5"/>
      <c r="E468" s="5"/>
      <c r="F468" s="5"/>
      <c r="G468" s="5"/>
      <c r="H468" s="7"/>
    </row>
    <row r="469">
      <c r="C469" s="5"/>
      <c r="D469" s="5"/>
      <c r="E469" s="5"/>
      <c r="F469" s="5"/>
      <c r="G469" s="5"/>
      <c r="H469" s="7"/>
    </row>
    <row r="470">
      <c r="C470" s="5"/>
      <c r="D470" s="5"/>
      <c r="E470" s="5"/>
      <c r="F470" s="5"/>
      <c r="G470" s="5"/>
      <c r="H470" s="7"/>
    </row>
    <row r="471">
      <c r="C471" s="5"/>
      <c r="D471" s="5"/>
      <c r="E471" s="5"/>
      <c r="F471" s="5"/>
      <c r="G471" s="5"/>
      <c r="H471" s="7"/>
    </row>
    <row r="472">
      <c r="C472" s="5"/>
      <c r="D472" s="5"/>
      <c r="E472" s="5"/>
      <c r="F472" s="5"/>
      <c r="G472" s="5"/>
      <c r="H472" s="7"/>
    </row>
    <row r="473">
      <c r="C473" s="5"/>
      <c r="D473" s="5"/>
      <c r="E473" s="5"/>
      <c r="F473" s="5"/>
      <c r="G473" s="5"/>
      <c r="H473" s="7"/>
    </row>
    <row r="474">
      <c r="C474" s="5"/>
      <c r="D474" s="5"/>
      <c r="E474" s="5"/>
      <c r="F474" s="5"/>
      <c r="G474" s="5"/>
      <c r="H474" s="7"/>
    </row>
    <row r="475">
      <c r="C475" s="5"/>
      <c r="D475" s="5"/>
      <c r="E475" s="5"/>
      <c r="F475" s="5"/>
      <c r="G475" s="5"/>
      <c r="H475" s="7"/>
    </row>
    <row r="476">
      <c r="C476" s="5"/>
      <c r="D476" s="5"/>
      <c r="E476" s="5"/>
      <c r="F476" s="5"/>
      <c r="G476" s="5"/>
      <c r="H476" s="7"/>
    </row>
    <row r="477">
      <c r="C477" s="5"/>
      <c r="D477" s="5"/>
      <c r="E477" s="5"/>
      <c r="F477" s="5"/>
      <c r="G477" s="5"/>
      <c r="H477" s="7"/>
    </row>
    <row r="478">
      <c r="C478" s="5"/>
      <c r="D478" s="5"/>
      <c r="E478" s="5"/>
      <c r="F478" s="5"/>
      <c r="G478" s="5"/>
      <c r="H478" s="7"/>
    </row>
    <row r="479">
      <c r="C479" s="5"/>
      <c r="D479" s="5"/>
      <c r="E479" s="5"/>
      <c r="F479" s="5"/>
      <c r="G479" s="5"/>
      <c r="H479" s="7"/>
    </row>
    <row r="480">
      <c r="C480" s="5"/>
      <c r="D480" s="5"/>
      <c r="E480" s="5"/>
      <c r="F480" s="5"/>
      <c r="G480" s="5"/>
      <c r="H480" s="7"/>
    </row>
    <row r="481">
      <c r="C481" s="5"/>
      <c r="D481" s="5"/>
      <c r="E481" s="5"/>
      <c r="F481" s="5"/>
      <c r="G481" s="5"/>
      <c r="H481" s="7"/>
    </row>
    <row r="482">
      <c r="C482" s="5"/>
      <c r="D482" s="5"/>
      <c r="E482" s="5"/>
      <c r="F482" s="5"/>
      <c r="G482" s="5"/>
      <c r="H482" s="7"/>
    </row>
    <row r="483">
      <c r="C483" s="5"/>
      <c r="D483" s="5"/>
      <c r="E483" s="5"/>
      <c r="F483" s="5"/>
      <c r="G483" s="5"/>
      <c r="H483" s="7"/>
    </row>
    <row r="484">
      <c r="C484" s="5"/>
      <c r="D484" s="5"/>
      <c r="E484" s="5"/>
      <c r="F484" s="5"/>
      <c r="G484" s="5"/>
      <c r="H484" s="7"/>
    </row>
    <row r="485">
      <c r="C485" s="5"/>
      <c r="D485" s="5"/>
      <c r="E485" s="5"/>
      <c r="F485" s="5"/>
      <c r="G485" s="5"/>
      <c r="H485" s="7"/>
    </row>
    <row r="486">
      <c r="C486" s="5"/>
      <c r="D486" s="5"/>
      <c r="E486" s="5"/>
      <c r="F486" s="5"/>
      <c r="G486" s="5"/>
      <c r="H486" s="7"/>
    </row>
    <row r="487">
      <c r="C487" s="5"/>
      <c r="D487" s="5"/>
      <c r="E487" s="5"/>
      <c r="F487" s="5"/>
      <c r="G487" s="5"/>
      <c r="H487" s="7"/>
    </row>
    <row r="488">
      <c r="C488" s="5"/>
      <c r="D488" s="5"/>
      <c r="E488" s="5"/>
      <c r="F488" s="5"/>
      <c r="G488" s="5"/>
      <c r="H488" s="7"/>
    </row>
    <row r="489">
      <c r="C489" s="5"/>
      <c r="D489" s="5"/>
      <c r="E489" s="5"/>
      <c r="F489" s="5"/>
      <c r="G489" s="5"/>
      <c r="H489" s="7"/>
    </row>
    <row r="490">
      <c r="C490" s="5"/>
      <c r="D490" s="5"/>
      <c r="E490" s="5"/>
      <c r="F490" s="5"/>
      <c r="G490" s="5"/>
      <c r="H490" s="7"/>
    </row>
    <row r="491">
      <c r="C491" s="5"/>
      <c r="D491" s="5"/>
      <c r="E491" s="5"/>
      <c r="F491" s="5"/>
      <c r="G491" s="5"/>
      <c r="H491" s="7"/>
    </row>
    <row r="492">
      <c r="C492" s="5"/>
      <c r="D492" s="5"/>
      <c r="E492" s="5"/>
      <c r="F492" s="5"/>
      <c r="G492" s="5"/>
      <c r="H492" s="7"/>
    </row>
    <row r="493">
      <c r="C493" s="5"/>
      <c r="D493" s="5"/>
      <c r="E493" s="5"/>
      <c r="F493" s="5"/>
      <c r="G493" s="5"/>
      <c r="H493" s="7"/>
    </row>
    <row r="494">
      <c r="C494" s="5"/>
      <c r="D494" s="5"/>
      <c r="E494" s="5"/>
      <c r="F494" s="5"/>
      <c r="G494" s="5"/>
      <c r="H494" s="7"/>
    </row>
    <row r="495">
      <c r="C495" s="5"/>
      <c r="D495" s="5"/>
      <c r="E495" s="5"/>
      <c r="F495" s="5"/>
      <c r="G495" s="5"/>
      <c r="H495" s="7"/>
    </row>
    <row r="496">
      <c r="C496" s="5"/>
      <c r="D496" s="5"/>
      <c r="E496" s="5"/>
      <c r="F496" s="5"/>
      <c r="G496" s="5"/>
      <c r="H496" s="7"/>
    </row>
    <row r="497">
      <c r="C497" s="5"/>
      <c r="D497" s="5"/>
      <c r="E497" s="5"/>
      <c r="F497" s="5"/>
      <c r="G497" s="5"/>
      <c r="H497" s="7"/>
    </row>
    <row r="498">
      <c r="C498" s="5"/>
      <c r="D498" s="5"/>
      <c r="E498" s="5"/>
      <c r="F498" s="5"/>
      <c r="G498" s="5"/>
      <c r="H498" s="7"/>
    </row>
    <row r="499">
      <c r="C499" s="5"/>
      <c r="D499" s="5"/>
      <c r="E499" s="5"/>
      <c r="F499" s="5"/>
      <c r="G499" s="5"/>
      <c r="H499" s="7"/>
    </row>
    <row r="500">
      <c r="C500" s="5"/>
      <c r="D500" s="5"/>
      <c r="E500" s="5"/>
      <c r="F500" s="5"/>
      <c r="G500" s="5"/>
      <c r="H500" s="7"/>
    </row>
    <row r="501">
      <c r="C501" s="5"/>
      <c r="D501" s="5"/>
      <c r="E501" s="5"/>
      <c r="F501" s="5"/>
      <c r="G501" s="5"/>
      <c r="H501" s="7"/>
    </row>
    <row r="502">
      <c r="C502" s="5"/>
      <c r="D502" s="5"/>
      <c r="E502" s="5"/>
      <c r="F502" s="5"/>
      <c r="G502" s="5"/>
      <c r="H502" s="7"/>
    </row>
    <row r="503">
      <c r="C503" s="5"/>
      <c r="D503" s="5"/>
      <c r="E503" s="5"/>
      <c r="F503" s="5"/>
      <c r="G503" s="5"/>
      <c r="H503" s="7"/>
    </row>
    <row r="504">
      <c r="C504" s="5"/>
      <c r="D504" s="5"/>
      <c r="E504" s="5"/>
      <c r="F504" s="5"/>
      <c r="G504" s="5"/>
      <c r="H504" s="7"/>
    </row>
    <row r="505">
      <c r="C505" s="5"/>
      <c r="D505" s="5"/>
      <c r="E505" s="5"/>
      <c r="F505" s="5"/>
      <c r="G505" s="5"/>
      <c r="H505" s="7"/>
    </row>
    <row r="506">
      <c r="C506" s="5"/>
      <c r="D506" s="5"/>
      <c r="E506" s="5"/>
      <c r="F506" s="5"/>
      <c r="G506" s="5"/>
      <c r="H506" s="7"/>
    </row>
    <row r="507">
      <c r="C507" s="5"/>
      <c r="D507" s="5"/>
      <c r="E507" s="5"/>
      <c r="F507" s="5"/>
      <c r="G507" s="5"/>
      <c r="H507" s="7"/>
    </row>
    <row r="508">
      <c r="C508" s="5"/>
      <c r="D508" s="5"/>
      <c r="E508" s="5"/>
      <c r="F508" s="5"/>
      <c r="G508" s="5"/>
      <c r="H508" s="7"/>
    </row>
    <row r="509">
      <c r="C509" s="5"/>
      <c r="D509" s="5"/>
      <c r="E509" s="5"/>
      <c r="F509" s="5"/>
      <c r="G509" s="5"/>
      <c r="H509" s="7"/>
    </row>
    <row r="510">
      <c r="C510" s="5"/>
      <c r="D510" s="5"/>
      <c r="E510" s="5"/>
      <c r="F510" s="5"/>
      <c r="G510" s="5"/>
      <c r="H510" s="7"/>
    </row>
    <row r="511">
      <c r="C511" s="5"/>
      <c r="D511" s="5"/>
      <c r="E511" s="5"/>
      <c r="F511" s="5"/>
      <c r="G511" s="5"/>
      <c r="H511" s="7"/>
    </row>
    <row r="512">
      <c r="C512" s="5"/>
      <c r="D512" s="5"/>
      <c r="E512" s="5"/>
      <c r="F512" s="5"/>
      <c r="G512" s="5"/>
      <c r="H512" s="7"/>
    </row>
    <row r="513">
      <c r="C513" s="5"/>
      <c r="D513" s="5"/>
      <c r="E513" s="5"/>
      <c r="F513" s="5"/>
      <c r="G513" s="5"/>
      <c r="H513" s="7"/>
    </row>
    <row r="514">
      <c r="C514" s="5"/>
      <c r="D514" s="5"/>
      <c r="E514" s="5"/>
      <c r="F514" s="5"/>
      <c r="G514" s="5"/>
      <c r="H514" s="7"/>
    </row>
    <row r="515">
      <c r="C515" s="5"/>
      <c r="D515" s="5"/>
      <c r="E515" s="5"/>
      <c r="F515" s="5"/>
      <c r="G515" s="5"/>
      <c r="H515" s="7"/>
    </row>
    <row r="516">
      <c r="C516" s="5"/>
      <c r="D516" s="5"/>
      <c r="E516" s="5"/>
      <c r="F516" s="5"/>
      <c r="G516" s="5"/>
      <c r="H516" s="7"/>
    </row>
    <row r="517">
      <c r="C517" s="5"/>
      <c r="D517" s="5"/>
      <c r="E517" s="5"/>
      <c r="F517" s="5"/>
      <c r="G517" s="5"/>
      <c r="H517" s="7"/>
    </row>
    <row r="518">
      <c r="C518" s="5"/>
      <c r="D518" s="5"/>
      <c r="E518" s="5"/>
      <c r="F518" s="5"/>
      <c r="G518" s="5"/>
      <c r="H518" s="7"/>
    </row>
    <row r="519">
      <c r="C519" s="5"/>
      <c r="D519" s="5"/>
      <c r="E519" s="5"/>
      <c r="F519" s="5"/>
      <c r="G519" s="5"/>
      <c r="H519" s="7"/>
    </row>
    <row r="520">
      <c r="C520" s="5"/>
      <c r="D520" s="5"/>
      <c r="E520" s="5"/>
      <c r="F520" s="5"/>
      <c r="G520" s="5"/>
      <c r="H520" s="7"/>
    </row>
    <row r="521">
      <c r="C521" s="5"/>
      <c r="D521" s="5"/>
      <c r="E521" s="5"/>
      <c r="F521" s="5"/>
      <c r="G521" s="5"/>
      <c r="H521" s="7"/>
    </row>
    <row r="522">
      <c r="C522" s="5"/>
      <c r="D522" s="5"/>
      <c r="E522" s="5"/>
      <c r="F522" s="5"/>
      <c r="G522" s="5"/>
      <c r="H522" s="7"/>
    </row>
    <row r="523">
      <c r="C523" s="5"/>
      <c r="D523" s="5"/>
      <c r="E523" s="5"/>
      <c r="F523" s="5"/>
      <c r="G523" s="5"/>
      <c r="H523" s="7"/>
    </row>
    <row r="524">
      <c r="C524" s="5"/>
      <c r="D524" s="5"/>
      <c r="E524" s="5"/>
      <c r="F524" s="5"/>
      <c r="G524" s="5"/>
      <c r="H524" s="7"/>
    </row>
    <row r="525">
      <c r="C525" s="5"/>
      <c r="D525" s="5"/>
      <c r="E525" s="5"/>
      <c r="F525" s="5"/>
      <c r="G525" s="5"/>
      <c r="H525" s="7"/>
    </row>
    <row r="526">
      <c r="C526" s="5"/>
      <c r="D526" s="5"/>
      <c r="E526" s="5"/>
      <c r="F526" s="5"/>
      <c r="G526" s="5"/>
      <c r="H526" s="7"/>
    </row>
    <row r="527">
      <c r="C527" s="5"/>
      <c r="D527" s="5"/>
      <c r="E527" s="5"/>
      <c r="F527" s="5"/>
      <c r="G527" s="5"/>
      <c r="H527" s="7"/>
    </row>
    <row r="528">
      <c r="C528" s="5"/>
      <c r="D528" s="5"/>
      <c r="E528" s="5"/>
      <c r="F528" s="5"/>
      <c r="G528" s="5"/>
      <c r="H528" s="7"/>
    </row>
    <row r="529">
      <c r="C529" s="5"/>
      <c r="D529" s="5"/>
      <c r="E529" s="5"/>
      <c r="F529" s="5"/>
      <c r="G529" s="5"/>
      <c r="H529" s="7"/>
    </row>
    <row r="530">
      <c r="C530" s="5"/>
      <c r="D530" s="5"/>
      <c r="E530" s="5"/>
      <c r="F530" s="5"/>
      <c r="G530" s="5"/>
      <c r="H530" s="7"/>
    </row>
    <row r="531">
      <c r="C531" s="5"/>
      <c r="D531" s="5"/>
      <c r="E531" s="5"/>
      <c r="F531" s="5"/>
      <c r="G531" s="5"/>
      <c r="H531" s="7"/>
    </row>
    <row r="532">
      <c r="C532" s="5"/>
      <c r="D532" s="5"/>
      <c r="E532" s="5"/>
      <c r="F532" s="5"/>
      <c r="G532" s="5"/>
      <c r="H532" s="7"/>
    </row>
    <row r="533">
      <c r="C533" s="5"/>
      <c r="D533" s="5"/>
      <c r="E533" s="5"/>
      <c r="F533" s="5"/>
      <c r="G533" s="5"/>
      <c r="H533" s="7"/>
    </row>
    <row r="534">
      <c r="C534" s="5"/>
      <c r="D534" s="5"/>
      <c r="E534" s="5"/>
      <c r="F534" s="5"/>
      <c r="G534" s="5"/>
      <c r="H534" s="7"/>
    </row>
    <row r="535">
      <c r="C535" s="5"/>
      <c r="D535" s="5"/>
      <c r="E535" s="5"/>
      <c r="F535" s="5"/>
      <c r="G535" s="5"/>
      <c r="H535" s="7"/>
    </row>
    <row r="536">
      <c r="C536" s="5"/>
      <c r="D536" s="5"/>
      <c r="E536" s="5"/>
      <c r="F536" s="5"/>
      <c r="G536" s="5"/>
      <c r="H536" s="7"/>
    </row>
    <row r="537">
      <c r="C537" s="5"/>
      <c r="D537" s="5"/>
      <c r="E537" s="5"/>
      <c r="F537" s="5"/>
      <c r="G537" s="5"/>
      <c r="H537" s="7"/>
    </row>
    <row r="538">
      <c r="C538" s="5"/>
      <c r="D538" s="5"/>
      <c r="E538" s="5"/>
      <c r="F538" s="5"/>
      <c r="G538" s="5"/>
      <c r="H538" s="7"/>
    </row>
    <row r="539">
      <c r="C539" s="5"/>
      <c r="D539" s="5"/>
      <c r="E539" s="5"/>
      <c r="F539" s="5"/>
      <c r="G539" s="5"/>
      <c r="H539" s="7"/>
    </row>
    <row r="540">
      <c r="C540" s="5"/>
      <c r="D540" s="5"/>
      <c r="E540" s="5"/>
      <c r="F540" s="5"/>
      <c r="G540" s="5"/>
      <c r="H540" s="7"/>
    </row>
    <row r="541">
      <c r="C541" s="5"/>
      <c r="D541" s="5"/>
      <c r="E541" s="5"/>
      <c r="F541" s="5"/>
      <c r="G541" s="5"/>
      <c r="H541" s="7"/>
    </row>
    <row r="542">
      <c r="C542" s="5"/>
      <c r="D542" s="5"/>
      <c r="E542" s="5"/>
      <c r="F542" s="5"/>
      <c r="G542" s="5"/>
      <c r="H542" s="7"/>
    </row>
    <row r="543">
      <c r="C543" s="5"/>
      <c r="D543" s="5"/>
      <c r="E543" s="5"/>
      <c r="F543" s="5"/>
      <c r="G543" s="5"/>
      <c r="H543" s="7"/>
    </row>
    <row r="544">
      <c r="C544" s="5"/>
      <c r="D544" s="5"/>
      <c r="E544" s="5"/>
      <c r="F544" s="5"/>
      <c r="G544" s="5"/>
      <c r="H544" s="7"/>
    </row>
    <row r="545">
      <c r="C545" s="5"/>
      <c r="D545" s="5"/>
      <c r="E545" s="5"/>
      <c r="F545" s="5"/>
      <c r="G545" s="5"/>
      <c r="H545" s="7"/>
    </row>
    <row r="546">
      <c r="C546" s="5"/>
      <c r="D546" s="5"/>
      <c r="E546" s="5"/>
      <c r="F546" s="5"/>
      <c r="G546" s="5"/>
      <c r="H546" s="7"/>
    </row>
    <row r="547">
      <c r="C547" s="5"/>
      <c r="D547" s="5"/>
      <c r="E547" s="5"/>
      <c r="F547" s="5"/>
      <c r="G547" s="5"/>
      <c r="H547" s="7"/>
    </row>
    <row r="548">
      <c r="C548" s="5"/>
      <c r="D548" s="5"/>
      <c r="E548" s="5"/>
      <c r="F548" s="5"/>
      <c r="G548" s="5"/>
      <c r="H548" s="7"/>
    </row>
    <row r="549">
      <c r="C549" s="5"/>
      <c r="D549" s="5"/>
      <c r="E549" s="5"/>
      <c r="F549" s="5"/>
      <c r="G549" s="5"/>
      <c r="H549" s="7"/>
    </row>
    <row r="550">
      <c r="C550" s="5"/>
      <c r="D550" s="5"/>
      <c r="E550" s="5"/>
      <c r="F550" s="5"/>
      <c r="G550" s="5"/>
      <c r="H550" s="7"/>
    </row>
    <row r="551">
      <c r="C551" s="5"/>
      <c r="D551" s="5"/>
      <c r="E551" s="5"/>
      <c r="F551" s="5"/>
      <c r="G551" s="5"/>
      <c r="H551" s="7"/>
    </row>
    <row r="552">
      <c r="C552" s="5"/>
      <c r="D552" s="5"/>
      <c r="E552" s="5"/>
      <c r="F552" s="5"/>
      <c r="G552" s="5"/>
      <c r="H552" s="7"/>
    </row>
    <row r="553">
      <c r="C553" s="5"/>
      <c r="D553" s="5"/>
      <c r="E553" s="5"/>
      <c r="F553" s="5"/>
      <c r="G553" s="5"/>
      <c r="H553" s="7"/>
    </row>
    <row r="554">
      <c r="C554" s="5"/>
      <c r="D554" s="5"/>
      <c r="E554" s="5"/>
      <c r="F554" s="5"/>
      <c r="G554" s="5"/>
      <c r="H554" s="7"/>
    </row>
    <row r="555">
      <c r="C555" s="5"/>
      <c r="D555" s="5"/>
      <c r="E555" s="5"/>
      <c r="F555" s="5"/>
      <c r="G555" s="5"/>
      <c r="H555" s="7"/>
    </row>
    <row r="556">
      <c r="C556" s="5"/>
      <c r="D556" s="5"/>
      <c r="E556" s="5"/>
      <c r="F556" s="5"/>
      <c r="G556" s="5"/>
      <c r="H556" s="7"/>
    </row>
    <row r="557">
      <c r="C557" s="5"/>
      <c r="D557" s="5"/>
      <c r="E557" s="5"/>
      <c r="F557" s="5"/>
      <c r="G557" s="5"/>
      <c r="H557" s="7"/>
    </row>
    <row r="558">
      <c r="C558" s="5"/>
      <c r="D558" s="5"/>
      <c r="E558" s="5"/>
      <c r="F558" s="5"/>
      <c r="G558" s="5"/>
      <c r="H558" s="7"/>
    </row>
    <row r="559">
      <c r="C559" s="5"/>
      <c r="D559" s="5"/>
      <c r="E559" s="5"/>
      <c r="F559" s="5"/>
      <c r="G559" s="5"/>
      <c r="H559" s="7"/>
    </row>
    <row r="560">
      <c r="C560" s="5"/>
      <c r="D560" s="5"/>
      <c r="E560" s="5"/>
      <c r="F560" s="5"/>
      <c r="G560" s="5"/>
      <c r="H560" s="7"/>
    </row>
    <row r="561">
      <c r="C561" s="5"/>
      <c r="D561" s="5"/>
      <c r="E561" s="5"/>
      <c r="F561" s="5"/>
      <c r="G561" s="5"/>
      <c r="H561" s="7"/>
    </row>
    <row r="562">
      <c r="C562" s="5"/>
      <c r="D562" s="5"/>
      <c r="E562" s="5"/>
      <c r="F562" s="5"/>
      <c r="G562" s="5"/>
      <c r="H562" s="7"/>
    </row>
    <row r="563">
      <c r="C563" s="5"/>
      <c r="D563" s="5"/>
      <c r="E563" s="5"/>
      <c r="F563" s="5"/>
      <c r="G563" s="5"/>
      <c r="H563" s="7"/>
    </row>
    <row r="564">
      <c r="C564" s="5"/>
      <c r="D564" s="5"/>
      <c r="E564" s="5"/>
      <c r="F564" s="5"/>
      <c r="G564" s="5"/>
      <c r="H564" s="7"/>
    </row>
    <row r="565">
      <c r="C565" s="5"/>
      <c r="D565" s="5"/>
      <c r="E565" s="5"/>
      <c r="F565" s="5"/>
      <c r="G565" s="5"/>
      <c r="H565" s="7"/>
    </row>
    <row r="566">
      <c r="C566" s="5"/>
      <c r="D566" s="5"/>
      <c r="E566" s="5"/>
      <c r="F566" s="5"/>
      <c r="G566" s="5"/>
      <c r="H566" s="7"/>
    </row>
    <row r="567">
      <c r="C567" s="5"/>
      <c r="D567" s="5"/>
      <c r="E567" s="5"/>
      <c r="F567" s="5"/>
      <c r="G567" s="5"/>
      <c r="H567" s="7"/>
    </row>
    <row r="568">
      <c r="C568" s="5"/>
      <c r="D568" s="5"/>
      <c r="E568" s="5"/>
      <c r="F568" s="5"/>
      <c r="G568" s="5"/>
      <c r="H568" s="7"/>
    </row>
    <row r="569">
      <c r="C569" s="5"/>
      <c r="D569" s="5"/>
      <c r="E569" s="5"/>
      <c r="F569" s="5"/>
      <c r="G569" s="5"/>
      <c r="H569" s="7"/>
    </row>
    <row r="570">
      <c r="C570" s="5"/>
      <c r="D570" s="5"/>
      <c r="E570" s="5"/>
      <c r="F570" s="5"/>
      <c r="G570" s="5"/>
      <c r="H570" s="7"/>
    </row>
    <row r="571">
      <c r="C571" s="5"/>
      <c r="D571" s="5"/>
      <c r="E571" s="5"/>
      <c r="F571" s="5"/>
      <c r="G571" s="5"/>
      <c r="H571" s="7"/>
    </row>
    <row r="572">
      <c r="C572" s="5"/>
      <c r="D572" s="5"/>
      <c r="E572" s="5"/>
      <c r="F572" s="5"/>
      <c r="G572" s="5"/>
      <c r="H572" s="7"/>
    </row>
    <row r="573">
      <c r="C573" s="5"/>
      <c r="D573" s="5"/>
      <c r="E573" s="5"/>
      <c r="F573" s="5"/>
      <c r="G573" s="5"/>
      <c r="H573" s="7"/>
    </row>
    <row r="574">
      <c r="C574" s="5"/>
      <c r="D574" s="5"/>
      <c r="E574" s="5"/>
      <c r="F574" s="5"/>
      <c r="G574" s="5"/>
      <c r="H574" s="7"/>
    </row>
    <row r="575">
      <c r="C575" s="5"/>
      <c r="D575" s="5"/>
      <c r="E575" s="5"/>
      <c r="F575" s="5"/>
      <c r="G575" s="5"/>
      <c r="H575" s="7"/>
    </row>
    <row r="576">
      <c r="C576" s="5"/>
      <c r="D576" s="5"/>
      <c r="E576" s="5"/>
      <c r="F576" s="5"/>
      <c r="G576" s="5"/>
      <c r="H576" s="7"/>
    </row>
    <row r="577">
      <c r="C577" s="5"/>
      <c r="D577" s="5"/>
      <c r="E577" s="5"/>
      <c r="F577" s="5"/>
      <c r="G577" s="5"/>
      <c r="H577" s="7"/>
    </row>
    <row r="578">
      <c r="C578" s="5"/>
      <c r="D578" s="5"/>
      <c r="E578" s="5"/>
      <c r="F578" s="5"/>
      <c r="G578" s="5"/>
      <c r="H578" s="7"/>
    </row>
    <row r="579">
      <c r="C579" s="5"/>
      <c r="D579" s="5"/>
      <c r="E579" s="5"/>
      <c r="F579" s="5"/>
      <c r="G579" s="5"/>
      <c r="H579" s="7"/>
    </row>
    <row r="580">
      <c r="C580" s="5"/>
      <c r="D580" s="5"/>
      <c r="E580" s="5"/>
      <c r="F580" s="5"/>
      <c r="G580" s="5"/>
      <c r="H580" s="7"/>
    </row>
    <row r="581">
      <c r="C581" s="5"/>
      <c r="D581" s="5"/>
      <c r="E581" s="5"/>
      <c r="F581" s="5"/>
      <c r="G581" s="5"/>
      <c r="H581" s="7"/>
    </row>
    <row r="582">
      <c r="C582" s="5"/>
      <c r="D582" s="5"/>
      <c r="E582" s="5"/>
      <c r="F582" s="5"/>
      <c r="G582" s="5"/>
      <c r="H582" s="7"/>
    </row>
    <row r="583">
      <c r="C583" s="5"/>
      <c r="D583" s="5"/>
      <c r="E583" s="5"/>
      <c r="F583" s="5"/>
      <c r="G583" s="5"/>
      <c r="H583" s="7"/>
    </row>
    <row r="584">
      <c r="C584" s="5"/>
      <c r="D584" s="5"/>
      <c r="E584" s="5"/>
      <c r="F584" s="5"/>
      <c r="G584" s="5"/>
      <c r="H584" s="7"/>
    </row>
    <row r="585">
      <c r="C585" s="5"/>
      <c r="D585" s="5"/>
      <c r="E585" s="5"/>
      <c r="F585" s="5"/>
      <c r="G585" s="5"/>
      <c r="H585" s="7"/>
    </row>
    <row r="586">
      <c r="C586" s="5"/>
      <c r="D586" s="5"/>
      <c r="E586" s="5"/>
      <c r="F586" s="5"/>
      <c r="G586" s="5"/>
      <c r="H586" s="7"/>
    </row>
    <row r="587">
      <c r="C587" s="5"/>
      <c r="D587" s="5"/>
      <c r="E587" s="5"/>
      <c r="F587" s="5"/>
      <c r="G587" s="5"/>
      <c r="H587" s="7"/>
    </row>
    <row r="588">
      <c r="C588" s="5"/>
      <c r="D588" s="5"/>
      <c r="E588" s="5"/>
      <c r="F588" s="5"/>
      <c r="G588" s="5"/>
      <c r="H588" s="7"/>
    </row>
    <row r="589">
      <c r="C589" s="5"/>
      <c r="D589" s="5"/>
      <c r="E589" s="5"/>
      <c r="F589" s="5"/>
      <c r="G589" s="5"/>
      <c r="H589" s="7"/>
    </row>
    <row r="590">
      <c r="C590" s="5"/>
      <c r="D590" s="5"/>
      <c r="E590" s="5"/>
      <c r="F590" s="5"/>
      <c r="G590" s="5"/>
      <c r="H590" s="7"/>
    </row>
    <row r="591">
      <c r="C591" s="5"/>
      <c r="D591" s="5"/>
      <c r="E591" s="5"/>
      <c r="F591" s="5"/>
      <c r="G591" s="5"/>
      <c r="H591" s="7"/>
    </row>
    <row r="592">
      <c r="C592" s="5"/>
      <c r="D592" s="5"/>
      <c r="E592" s="5"/>
      <c r="F592" s="5"/>
      <c r="G592" s="5"/>
      <c r="H592" s="7"/>
    </row>
    <row r="593">
      <c r="C593" s="5"/>
      <c r="D593" s="5"/>
      <c r="E593" s="5"/>
      <c r="F593" s="5"/>
      <c r="G593" s="5"/>
      <c r="H593" s="7"/>
    </row>
    <row r="594">
      <c r="C594" s="5"/>
      <c r="D594" s="5"/>
      <c r="E594" s="5"/>
      <c r="F594" s="5"/>
      <c r="G594" s="5"/>
      <c r="H594" s="7"/>
    </row>
    <row r="595">
      <c r="C595" s="5"/>
      <c r="D595" s="5"/>
      <c r="E595" s="5"/>
      <c r="F595" s="5"/>
      <c r="G595" s="5"/>
      <c r="H595" s="7"/>
    </row>
    <row r="596">
      <c r="C596" s="5"/>
      <c r="D596" s="5"/>
      <c r="E596" s="5"/>
      <c r="F596" s="5"/>
      <c r="G596" s="5"/>
      <c r="H596" s="7"/>
    </row>
    <row r="597">
      <c r="C597" s="5"/>
      <c r="D597" s="5"/>
      <c r="E597" s="5"/>
      <c r="F597" s="5"/>
      <c r="G597" s="5"/>
      <c r="H597" s="7"/>
    </row>
    <row r="598">
      <c r="C598" s="5"/>
      <c r="D598" s="5"/>
      <c r="E598" s="5"/>
      <c r="F598" s="5"/>
      <c r="G598" s="5"/>
      <c r="H598" s="7"/>
    </row>
    <row r="599">
      <c r="C599" s="5"/>
      <c r="D599" s="5"/>
      <c r="E599" s="5"/>
      <c r="F599" s="5"/>
      <c r="G599" s="5"/>
      <c r="H599" s="7"/>
    </row>
    <row r="600">
      <c r="C600" s="5"/>
      <c r="D600" s="5"/>
      <c r="E600" s="5"/>
      <c r="F600" s="5"/>
      <c r="G600" s="5"/>
      <c r="H600" s="7"/>
    </row>
    <row r="601">
      <c r="C601" s="5"/>
      <c r="D601" s="5"/>
      <c r="E601" s="5"/>
      <c r="F601" s="5"/>
      <c r="G601" s="5"/>
      <c r="H601" s="7"/>
    </row>
    <row r="602">
      <c r="C602" s="5"/>
      <c r="D602" s="5"/>
      <c r="E602" s="5"/>
      <c r="F602" s="5"/>
      <c r="G602" s="5"/>
      <c r="H602" s="7"/>
    </row>
    <row r="603">
      <c r="C603" s="5"/>
      <c r="D603" s="5"/>
      <c r="E603" s="5"/>
      <c r="F603" s="5"/>
      <c r="G603" s="5"/>
      <c r="H603" s="7"/>
    </row>
    <row r="604">
      <c r="C604" s="5"/>
      <c r="D604" s="5"/>
      <c r="E604" s="5"/>
      <c r="F604" s="5"/>
      <c r="G604" s="5"/>
      <c r="H604" s="7"/>
    </row>
    <row r="605">
      <c r="C605" s="5"/>
      <c r="D605" s="5"/>
      <c r="E605" s="5"/>
      <c r="F605" s="5"/>
      <c r="G605" s="5"/>
      <c r="H605" s="7"/>
    </row>
    <row r="606">
      <c r="C606" s="5"/>
      <c r="D606" s="5"/>
      <c r="E606" s="5"/>
      <c r="F606" s="5"/>
      <c r="G606" s="5"/>
      <c r="H606" s="7"/>
    </row>
    <row r="607">
      <c r="C607" s="5"/>
      <c r="D607" s="5"/>
      <c r="E607" s="5"/>
      <c r="F607" s="5"/>
      <c r="G607" s="5"/>
      <c r="H607" s="7"/>
    </row>
    <row r="608">
      <c r="C608" s="5"/>
      <c r="D608" s="5"/>
      <c r="E608" s="5"/>
      <c r="F608" s="5"/>
      <c r="G608" s="5"/>
      <c r="H608" s="7"/>
    </row>
    <row r="609">
      <c r="C609" s="5"/>
      <c r="D609" s="5"/>
      <c r="E609" s="5"/>
      <c r="F609" s="5"/>
      <c r="G609" s="5"/>
      <c r="H609" s="7"/>
    </row>
    <row r="610">
      <c r="C610" s="5"/>
      <c r="D610" s="5"/>
      <c r="E610" s="5"/>
      <c r="F610" s="5"/>
      <c r="G610" s="5"/>
      <c r="H610" s="7"/>
    </row>
    <row r="611">
      <c r="C611" s="5"/>
      <c r="D611" s="5"/>
      <c r="E611" s="5"/>
      <c r="F611" s="5"/>
      <c r="G611" s="5"/>
      <c r="H611" s="7"/>
    </row>
    <row r="612">
      <c r="C612" s="5"/>
      <c r="D612" s="5"/>
      <c r="E612" s="5"/>
      <c r="F612" s="5"/>
      <c r="G612" s="5"/>
      <c r="H612" s="7"/>
    </row>
    <row r="613">
      <c r="C613" s="5"/>
      <c r="D613" s="5"/>
      <c r="E613" s="5"/>
      <c r="F613" s="5"/>
      <c r="G613" s="5"/>
      <c r="H613" s="7"/>
    </row>
    <row r="614">
      <c r="C614" s="5"/>
      <c r="D614" s="5"/>
      <c r="E614" s="5"/>
      <c r="F614" s="5"/>
      <c r="G614" s="5"/>
      <c r="H614" s="7"/>
    </row>
    <row r="615">
      <c r="C615" s="5"/>
      <c r="D615" s="5"/>
      <c r="E615" s="5"/>
      <c r="F615" s="5"/>
      <c r="G615" s="5"/>
      <c r="H615" s="7"/>
    </row>
    <row r="616">
      <c r="C616" s="5"/>
      <c r="D616" s="5"/>
      <c r="E616" s="5"/>
      <c r="F616" s="5"/>
      <c r="G616" s="5"/>
      <c r="H616" s="7"/>
    </row>
    <row r="617">
      <c r="C617" s="5"/>
      <c r="D617" s="5"/>
      <c r="E617" s="5"/>
      <c r="F617" s="5"/>
      <c r="G617" s="5"/>
      <c r="H617" s="7"/>
    </row>
    <row r="618">
      <c r="C618" s="5"/>
      <c r="D618" s="5"/>
      <c r="E618" s="5"/>
      <c r="F618" s="5"/>
      <c r="G618" s="5"/>
      <c r="H618" s="7"/>
    </row>
    <row r="619">
      <c r="C619" s="5"/>
      <c r="D619" s="5"/>
      <c r="E619" s="5"/>
      <c r="F619" s="5"/>
      <c r="G619" s="5"/>
      <c r="H619" s="7"/>
    </row>
    <row r="620">
      <c r="C620" s="5"/>
      <c r="D620" s="5"/>
      <c r="E620" s="5"/>
      <c r="F620" s="5"/>
      <c r="G620" s="5"/>
      <c r="H620" s="7"/>
    </row>
    <row r="621">
      <c r="C621" s="5"/>
      <c r="D621" s="5"/>
      <c r="E621" s="5"/>
      <c r="F621" s="5"/>
      <c r="G621" s="5"/>
      <c r="H621" s="7"/>
    </row>
    <row r="622">
      <c r="C622" s="5"/>
      <c r="D622" s="5"/>
      <c r="E622" s="5"/>
      <c r="F622" s="5"/>
      <c r="G622" s="5"/>
      <c r="H622" s="7"/>
    </row>
    <row r="623">
      <c r="C623" s="5"/>
      <c r="D623" s="5"/>
      <c r="E623" s="5"/>
      <c r="F623" s="5"/>
      <c r="G623" s="5"/>
      <c r="H623" s="7"/>
    </row>
    <row r="624">
      <c r="C624" s="5"/>
      <c r="D624" s="5"/>
      <c r="E624" s="5"/>
      <c r="F624" s="5"/>
      <c r="G624" s="5"/>
      <c r="H624" s="7"/>
    </row>
    <row r="625">
      <c r="C625" s="5"/>
      <c r="D625" s="5"/>
      <c r="E625" s="5"/>
      <c r="F625" s="5"/>
      <c r="G625" s="5"/>
      <c r="H625" s="7"/>
    </row>
    <row r="626">
      <c r="C626" s="5"/>
      <c r="D626" s="5"/>
      <c r="E626" s="5"/>
      <c r="F626" s="5"/>
      <c r="G626" s="5"/>
      <c r="H626" s="7"/>
    </row>
    <row r="627">
      <c r="C627" s="5"/>
      <c r="D627" s="5"/>
      <c r="E627" s="5"/>
      <c r="F627" s="5"/>
      <c r="G627" s="5"/>
      <c r="H627" s="7"/>
    </row>
    <row r="628">
      <c r="C628" s="5"/>
      <c r="D628" s="5"/>
      <c r="E628" s="5"/>
      <c r="F628" s="5"/>
      <c r="G628" s="5"/>
      <c r="H628" s="7"/>
    </row>
    <row r="629">
      <c r="C629" s="5"/>
      <c r="D629" s="5"/>
      <c r="E629" s="5"/>
      <c r="F629" s="5"/>
      <c r="G629" s="5"/>
      <c r="H629" s="7"/>
    </row>
    <row r="630">
      <c r="C630" s="5"/>
      <c r="D630" s="5"/>
      <c r="E630" s="5"/>
      <c r="F630" s="5"/>
      <c r="G630" s="5"/>
      <c r="H630" s="7"/>
    </row>
    <row r="631">
      <c r="C631" s="5"/>
      <c r="D631" s="5"/>
      <c r="E631" s="5"/>
      <c r="F631" s="5"/>
      <c r="G631" s="5"/>
      <c r="H631" s="7"/>
    </row>
    <row r="632">
      <c r="C632" s="5"/>
      <c r="D632" s="5"/>
      <c r="E632" s="5"/>
      <c r="F632" s="5"/>
      <c r="G632" s="5"/>
      <c r="H632" s="7"/>
    </row>
    <row r="633">
      <c r="C633" s="5"/>
      <c r="D633" s="5"/>
      <c r="E633" s="5"/>
      <c r="F633" s="5"/>
      <c r="G633" s="5"/>
      <c r="H633" s="7"/>
    </row>
    <row r="634">
      <c r="C634" s="5"/>
      <c r="D634" s="5"/>
      <c r="E634" s="5"/>
      <c r="F634" s="5"/>
      <c r="G634" s="5"/>
      <c r="H634" s="7"/>
    </row>
    <row r="635">
      <c r="C635" s="5"/>
      <c r="D635" s="5"/>
      <c r="E635" s="5"/>
      <c r="F635" s="5"/>
      <c r="G635" s="5"/>
      <c r="H635" s="7"/>
    </row>
    <row r="636">
      <c r="C636" s="5"/>
      <c r="D636" s="5"/>
      <c r="E636" s="5"/>
      <c r="F636" s="5"/>
      <c r="G636" s="5"/>
      <c r="H636" s="7"/>
    </row>
    <row r="637">
      <c r="C637" s="5"/>
      <c r="D637" s="5"/>
      <c r="E637" s="5"/>
      <c r="F637" s="5"/>
      <c r="G637" s="5"/>
      <c r="H637" s="7"/>
    </row>
    <row r="638">
      <c r="C638" s="5"/>
      <c r="D638" s="5"/>
      <c r="E638" s="5"/>
      <c r="F638" s="5"/>
      <c r="G638" s="5"/>
      <c r="H638" s="7"/>
    </row>
    <row r="639">
      <c r="C639" s="5"/>
      <c r="D639" s="5"/>
      <c r="E639" s="5"/>
      <c r="F639" s="5"/>
      <c r="G639" s="5"/>
      <c r="H639" s="7"/>
    </row>
    <row r="640">
      <c r="C640" s="5"/>
      <c r="D640" s="5"/>
      <c r="E640" s="5"/>
      <c r="F640" s="5"/>
      <c r="G640" s="5"/>
      <c r="H640" s="7"/>
    </row>
    <row r="641">
      <c r="C641" s="5"/>
      <c r="D641" s="5"/>
      <c r="E641" s="5"/>
      <c r="F641" s="5"/>
      <c r="G641" s="5"/>
      <c r="H641" s="7"/>
    </row>
    <row r="642">
      <c r="C642" s="5"/>
      <c r="D642" s="5"/>
      <c r="E642" s="5"/>
      <c r="F642" s="5"/>
      <c r="G642" s="5"/>
      <c r="H642" s="7"/>
    </row>
    <row r="643">
      <c r="C643" s="5"/>
      <c r="D643" s="5"/>
      <c r="E643" s="5"/>
      <c r="F643" s="5"/>
      <c r="G643" s="5"/>
      <c r="H643" s="7"/>
    </row>
    <row r="644">
      <c r="C644" s="5"/>
      <c r="D644" s="5"/>
      <c r="E644" s="5"/>
      <c r="F644" s="5"/>
      <c r="G644" s="5"/>
      <c r="H644" s="7"/>
    </row>
    <row r="645">
      <c r="C645" s="5"/>
      <c r="D645" s="5"/>
      <c r="E645" s="5"/>
      <c r="F645" s="5"/>
      <c r="G645" s="5"/>
      <c r="H645" s="7"/>
    </row>
    <row r="646">
      <c r="C646" s="5"/>
      <c r="D646" s="5"/>
      <c r="E646" s="5"/>
      <c r="F646" s="5"/>
      <c r="G646" s="5"/>
      <c r="H646" s="7"/>
    </row>
    <row r="647">
      <c r="C647" s="5"/>
      <c r="D647" s="5"/>
      <c r="E647" s="5"/>
      <c r="F647" s="5"/>
      <c r="G647" s="5"/>
      <c r="H647" s="7"/>
    </row>
    <row r="648">
      <c r="C648" s="5"/>
      <c r="D648" s="5"/>
      <c r="E648" s="5"/>
      <c r="F648" s="5"/>
      <c r="G648" s="5"/>
      <c r="H648" s="7"/>
    </row>
    <row r="649">
      <c r="C649" s="5"/>
      <c r="D649" s="5"/>
      <c r="E649" s="5"/>
      <c r="F649" s="5"/>
      <c r="G649" s="5"/>
      <c r="H649" s="7"/>
    </row>
    <row r="650">
      <c r="C650" s="5"/>
      <c r="D650" s="5"/>
      <c r="E650" s="5"/>
      <c r="F650" s="5"/>
      <c r="G650" s="5"/>
      <c r="H650" s="7"/>
    </row>
    <row r="651">
      <c r="C651" s="5"/>
      <c r="D651" s="5"/>
      <c r="E651" s="5"/>
      <c r="F651" s="5"/>
      <c r="G651" s="5"/>
      <c r="H651" s="7"/>
    </row>
    <row r="652">
      <c r="C652" s="5"/>
      <c r="D652" s="5"/>
      <c r="E652" s="5"/>
      <c r="F652" s="5"/>
      <c r="G652" s="5"/>
      <c r="H652" s="7"/>
    </row>
    <row r="653">
      <c r="C653" s="5"/>
      <c r="D653" s="5"/>
      <c r="E653" s="5"/>
      <c r="F653" s="5"/>
      <c r="G653" s="5"/>
      <c r="H653" s="7"/>
    </row>
    <row r="654">
      <c r="C654" s="5"/>
      <c r="D654" s="5"/>
      <c r="E654" s="5"/>
      <c r="F654" s="5"/>
      <c r="G654" s="5"/>
      <c r="H654" s="7"/>
    </row>
    <row r="655">
      <c r="C655" s="5"/>
      <c r="D655" s="5"/>
      <c r="E655" s="5"/>
      <c r="F655" s="5"/>
      <c r="G655" s="5"/>
      <c r="H655" s="7"/>
    </row>
    <row r="656">
      <c r="C656" s="5"/>
      <c r="D656" s="5"/>
      <c r="E656" s="5"/>
      <c r="F656" s="5"/>
      <c r="G656" s="5"/>
      <c r="H656" s="7"/>
    </row>
    <row r="657">
      <c r="C657" s="5"/>
      <c r="D657" s="5"/>
      <c r="E657" s="5"/>
      <c r="F657" s="5"/>
      <c r="G657" s="5"/>
      <c r="H657" s="7"/>
    </row>
    <row r="658">
      <c r="C658" s="5"/>
      <c r="D658" s="5"/>
      <c r="E658" s="5"/>
      <c r="F658" s="5"/>
      <c r="G658" s="5"/>
      <c r="H658" s="7"/>
    </row>
    <row r="659">
      <c r="C659" s="5"/>
      <c r="D659" s="5"/>
      <c r="E659" s="5"/>
      <c r="F659" s="5"/>
      <c r="G659" s="5"/>
      <c r="H659" s="7"/>
    </row>
    <row r="660">
      <c r="C660" s="5"/>
      <c r="D660" s="5"/>
      <c r="E660" s="5"/>
      <c r="F660" s="5"/>
      <c r="G660" s="5"/>
      <c r="H660" s="7"/>
    </row>
    <row r="661">
      <c r="C661" s="5"/>
      <c r="D661" s="5"/>
      <c r="E661" s="5"/>
      <c r="F661" s="5"/>
      <c r="G661" s="5"/>
      <c r="H661" s="7"/>
    </row>
    <row r="662">
      <c r="C662" s="5"/>
      <c r="D662" s="5"/>
      <c r="E662" s="5"/>
      <c r="F662" s="5"/>
      <c r="G662" s="5"/>
      <c r="H662" s="7"/>
    </row>
    <row r="663">
      <c r="C663" s="5"/>
      <c r="D663" s="5"/>
      <c r="E663" s="5"/>
      <c r="F663" s="5"/>
      <c r="G663" s="5"/>
      <c r="H663" s="7"/>
    </row>
    <row r="664">
      <c r="C664" s="5"/>
      <c r="D664" s="5"/>
      <c r="E664" s="5"/>
      <c r="F664" s="5"/>
      <c r="G664" s="5"/>
      <c r="H664" s="7"/>
    </row>
    <row r="665">
      <c r="C665" s="5"/>
      <c r="D665" s="5"/>
      <c r="E665" s="5"/>
      <c r="F665" s="5"/>
      <c r="G665" s="5"/>
      <c r="H665" s="7"/>
    </row>
    <row r="666">
      <c r="C666" s="5"/>
      <c r="D666" s="5"/>
      <c r="E666" s="5"/>
      <c r="F666" s="5"/>
      <c r="G666" s="5"/>
      <c r="H666" s="7"/>
    </row>
    <row r="667">
      <c r="C667" s="5"/>
      <c r="D667" s="5"/>
      <c r="E667" s="5"/>
      <c r="F667" s="5"/>
      <c r="G667" s="5"/>
      <c r="H667" s="7"/>
    </row>
    <row r="668">
      <c r="C668" s="5"/>
      <c r="D668" s="5"/>
      <c r="E668" s="5"/>
      <c r="F668" s="5"/>
      <c r="G668" s="5"/>
      <c r="H668" s="7"/>
    </row>
    <row r="669">
      <c r="C669" s="5"/>
      <c r="D669" s="5"/>
      <c r="E669" s="5"/>
      <c r="F669" s="5"/>
      <c r="G669" s="5"/>
      <c r="H669" s="7"/>
    </row>
    <row r="670">
      <c r="C670" s="5"/>
      <c r="D670" s="5"/>
      <c r="E670" s="5"/>
      <c r="F670" s="5"/>
      <c r="G670" s="5"/>
      <c r="H670" s="7"/>
    </row>
    <row r="671">
      <c r="C671" s="5"/>
      <c r="D671" s="5"/>
      <c r="E671" s="5"/>
      <c r="F671" s="5"/>
      <c r="G671" s="5"/>
      <c r="H671" s="7"/>
    </row>
    <row r="672">
      <c r="C672" s="5"/>
      <c r="D672" s="5"/>
      <c r="E672" s="5"/>
      <c r="F672" s="5"/>
      <c r="G672" s="5"/>
      <c r="H672" s="7"/>
    </row>
    <row r="673">
      <c r="C673" s="5"/>
      <c r="D673" s="5"/>
      <c r="E673" s="5"/>
      <c r="F673" s="5"/>
      <c r="G673" s="5"/>
      <c r="H673" s="7"/>
    </row>
    <row r="674">
      <c r="C674" s="5"/>
      <c r="D674" s="5"/>
      <c r="E674" s="5"/>
      <c r="F674" s="5"/>
      <c r="G674" s="5"/>
      <c r="H674" s="7"/>
    </row>
    <row r="675">
      <c r="C675" s="5"/>
      <c r="D675" s="5"/>
      <c r="E675" s="5"/>
      <c r="F675" s="5"/>
      <c r="G675" s="5"/>
      <c r="H675" s="7"/>
    </row>
    <row r="676">
      <c r="C676" s="5"/>
      <c r="D676" s="5"/>
      <c r="E676" s="5"/>
      <c r="F676" s="5"/>
      <c r="G676" s="5"/>
      <c r="H676" s="7"/>
    </row>
    <row r="677">
      <c r="C677" s="5"/>
      <c r="D677" s="5"/>
      <c r="E677" s="5"/>
      <c r="F677" s="5"/>
      <c r="G677" s="5"/>
      <c r="H677" s="7"/>
    </row>
    <row r="678">
      <c r="C678" s="5"/>
      <c r="D678" s="5"/>
      <c r="E678" s="5"/>
      <c r="F678" s="5"/>
      <c r="G678" s="5"/>
      <c r="H678" s="7"/>
    </row>
    <row r="679">
      <c r="C679" s="5"/>
      <c r="D679" s="5"/>
      <c r="E679" s="5"/>
      <c r="F679" s="5"/>
      <c r="G679" s="5"/>
      <c r="H679" s="7"/>
    </row>
    <row r="680">
      <c r="C680" s="5"/>
      <c r="D680" s="5"/>
      <c r="E680" s="5"/>
      <c r="F680" s="5"/>
      <c r="G680" s="5"/>
      <c r="H680" s="7"/>
    </row>
    <row r="681">
      <c r="C681" s="5"/>
      <c r="D681" s="5"/>
      <c r="E681" s="5"/>
      <c r="F681" s="5"/>
      <c r="G681" s="5"/>
      <c r="H681" s="7"/>
    </row>
    <row r="682">
      <c r="C682" s="5"/>
      <c r="D682" s="5"/>
      <c r="E682" s="5"/>
      <c r="F682" s="5"/>
      <c r="G682" s="5"/>
      <c r="H682" s="7"/>
    </row>
    <row r="683">
      <c r="C683" s="5"/>
      <c r="D683" s="5"/>
      <c r="E683" s="5"/>
      <c r="F683" s="5"/>
      <c r="G683" s="5"/>
      <c r="H683" s="7"/>
    </row>
    <row r="684">
      <c r="C684" s="5"/>
      <c r="D684" s="5"/>
      <c r="E684" s="5"/>
      <c r="F684" s="5"/>
      <c r="G684" s="5"/>
      <c r="H684" s="7"/>
    </row>
    <row r="685">
      <c r="C685" s="5"/>
      <c r="D685" s="5"/>
      <c r="E685" s="5"/>
      <c r="F685" s="5"/>
      <c r="G685" s="5"/>
      <c r="H685" s="7"/>
    </row>
    <row r="686">
      <c r="C686" s="5"/>
      <c r="D686" s="5"/>
      <c r="E686" s="5"/>
      <c r="F686" s="5"/>
      <c r="G686" s="5"/>
      <c r="H686" s="7"/>
    </row>
    <row r="687">
      <c r="C687" s="5"/>
      <c r="D687" s="5"/>
      <c r="E687" s="5"/>
      <c r="F687" s="5"/>
      <c r="G687" s="5"/>
      <c r="H687" s="7"/>
    </row>
    <row r="688">
      <c r="C688" s="5"/>
      <c r="D688" s="5"/>
      <c r="E688" s="5"/>
      <c r="F688" s="5"/>
      <c r="G688" s="5"/>
      <c r="H688" s="7"/>
    </row>
    <row r="689">
      <c r="C689" s="5"/>
      <c r="D689" s="5"/>
      <c r="E689" s="5"/>
      <c r="F689" s="5"/>
      <c r="G689" s="5"/>
      <c r="H689" s="7"/>
    </row>
    <row r="690">
      <c r="C690" s="5"/>
      <c r="D690" s="5"/>
      <c r="E690" s="5"/>
      <c r="F690" s="5"/>
      <c r="G690" s="5"/>
      <c r="H690" s="7"/>
    </row>
    <row r="691">
      <c r="C691" s="5"/>
      <c r="D691" s="5"/>
      <c r="E691" s="5"/>
      <c r="F691" s="5"/>
      <c r="G691" s="5"/>
      <c r="H691" s="7"/>
    </row>
    <row r="692">
      <c r="C692" s="5"/>
      <c r="D692" s="5"/>
      <c r="E692" s="5"/>
      <c r="F692" s="5"/>
      <c r="G692" s="5"/>
      <c r="H692" s="7"/>
    </row>
    <row r="693">
      <c r="C693" s="5"/>
      <c r="D693" s="5"/>
      <c r="E693" s="5"/>
      <c r="F693" s="5"/>
      <c r="G693" s="5"/>
      <c r="H693" s="7"/>
    </row>
    <row r="694">
      <c r="C694" s="5"/>
      <c r="D694" s="5"/>
      <c r="E694" s="5"/>
      <c r="F694" s="5"/>
      <c r="G694" s="5"/>
      <c r="H694" s="7"/>
    </row>
    <row r="695">
      <c r="C695" s="5"/>
      <c r="D695" s="5"/>
      <c r="E695" s="5"/>
      <c r="F695" s="5"/>
      <c r="G695" s="5"/>
      <c r="H695" s="7"/>
    </row>
    <row r="696">
      <c r="C696" s="5"/>
      <c r="D696" s="5"/>
      <c r="E696" s="5"/>
      <c r="F696" s="5"/>
      <c r="G696" s="5"/>
      <c r="H696" s="7"/>
    </row>
    <row r="697">
      <c r="C697" s="5"/>
      <c r="D697" s="5"/>
      <c r="E697" s="5"/>
      <c r="F697" s="5"/>
      <c r="G697" s="5"/>
      <c r="H697" s="7"/>
    </row>
    <row r="698">
      <c r="C698" s="5"/>
      <c r="D698" s="5"/>
      <c r="E698" s="5"/>
      <c r="F698" s="5"/>
      <c r="G698" s="5"/>
      <c r="H698" s="7"/>
    </row>
    <row r="699">
      <c r="C699" s="5"/>
      <c r="D699" s="5"/>
      <c r="E699" s="5"/>
      <c r="F699" s="5"/>
      <c r="G699" s="5"/>
      <c r="H699" s="7"/>
    </row>
    <row r="700">
      <c r="C700" s="5"/>
      <c r="D700" s="5"/>
      <c r="E700" s="5"/>
      <c r="F700" s="5"/>
      <c r="G700" s="5"/>
      <c r="H700" s="7"/>
    </row>
    <row r="701">
      <c r="C701" s="5"/>
      <c r="D701" s="5"/>
      <c r="E701" s="5"/>
      <c r="F701" s="5"/>
      <c r="G701" s="5"/>
      <c r="H701" s="7"/>
    </row>
    <row r="702">
      <c r="C702" s="5"/>
      <c r="D702" s="5"/>
      <c r="E702" s="5"/>
      <c r="F702" s="5"/>
      <c r="G702" s="5"/>
      <c r="H702" s="7"/>
    </row>
    <row r="703">
      <c r="C703" s="5"/>
      <c r="D703" s="5"/>
      <c r="E703" s="5"/>
      <c r="F703" s="5"/>
      <c r="G703" s="5"/>
      <c r="H703" s="7"/>
    </row>
    <row r="704">
      <c r="C704" s="5"/>
      <c r="D704" s="5"/>
      <c r="E704" s="5"/>
      <c r="F704" s="5"/>
      <c r="G704" s="5"/>
      <c r="H704" s="7"/>
    </row>
    <row r="705">
      <c r="C705" s="5"/>
      <c r="D705" s="5"/>
      <c r="E705" s="5"/>
      <c r="F705" s="5"/>
      <c r="G705" s="5"/>
      <c r="H705" s="7"/>
    </row>
    <row r="706">
      <c r="C706" s="5"/>
      <c r="D706" s="5"/>
      <c r="E706" s="5"/>
      <c r="F706" s="5"/>
      <c r="G706" s="5"/>
      <c r="H706" s="7"/>
    </row>
    <row r="707">
      <c r="C707" s="5"/>
      <c r="D707" s="5"/>
      <c r="E707" s="5"/>
      <c r="F707" s="5"/>
      <c r="G707" s="5"/>
      <c r="H707" s="7"/>
    </row>
    <row r="708">
      <c r="C708" s="5"/>
      <c r="D708" s="5"/>
      <c r="E708" s="5"/>
      <c r="F708" s="5"/>
      <c r="G708" s="5"/>
      <c r="H708" s="7"/>
    </row>
    <row r="709">
      <c r="C709" s="5"/>
      <c r="D709" s="5"/>
      <c r="E709" s="5"/>
      <c r="F709" s="5"/>
      <c r="G709" s="5"/>
      <c r="H709" s="7"/>
    </row>
    <row r="710">
      <c r="C710" s="5"/>
      <c r="D710" s="5"/>
      <c r="E710" s="5"/>
      <c r="F710" s="5"/>
      <c r="G710" s="5"/>
      <c r="H710" s="7"/>
    </row>
    <row r="711">
      <c r="C711" s="5"/>
      <c r="D711" s="5"/>
      <c r="E711" s="5"/>
      <c r="F711" s="5"/>
      <c r="G711" s="5"/>
      <c r="H711" s="7"/>
    </row>
    <row r="712">
      <c r="C712" s="5"/>
      <c r="D712" s="5"/>
      <c r="E712" s="5"/>
      <c r="F712" s="5"/>
      <c r="G712" s="5"/>
      <c r="H712" s="7"/>
    </row>
    <row r="713">
      <c r="C713" s="5"/>
      <c r="D713" s="5"/>
      <c r="E713" s="5"/>
      <c r="F713" s="5"/>
      <c r="G713" s="5"/>
      <c r="H713" s="7"/>
    </row>
    <row r="714">
      <c r="C714" s="5"/>
      <c r="D714" s="5"/>
      <c r="E714" s="5"/>
      <c r="F714" s="5"/>
      <c r="G714" s="5"/>
      <c r="H714" s="7"/>
    </row>
    <row r="715">
      <c r="C715" s="5"/>
      <c r="D715" s="5"/>
      <c r="E715" s="5"/>
      <c r="F715" s="5"/>
      <c r="G715" s="5"/>
      <c r="H715" s="7"/>
    </row>
    <row r="716">
      <c r="C716" s="5"/>
      <c r="D716" s="5"/>
      <c r="E716" s="5"/>
      <c r="F716" s="5"/>
      <c r="G716" s="5"/>
      <c r="H716" s="7"/>
    </row>
    <row r="717">
      <c r="C717" s="5"/>
      <c r="D717" s="5"/>
      <c r="E717" s="5"/>
      <c r="F717" s="5"/>
      <c r="G717" s="5"/>
      <c r="H717" s="7"/>
    </row>
    <row r="718">
      <c r="C718" s="5"/>
      <c r="D718" s="5"/>
      <c r="E718" s="5"/>
      <c r="F718" s="5"/>
      <c r="G718" s="5"/>
      <c r="H718" s="7"/>
    </row>
    <row r="719">
      <c r="C719" s="5"/>
      <c r="D719" s="5"/>
      <c r="E719" s="5"/>
      <c r="F719" s="5"/>
      <c r="G719" s="5"/>
      <c r="H719" s="7"/>
    </row>
    <row r="720">
      <c r="C720" s="5"/>
      <c r="D720" s="5"/>
      <c r="E720" s="5"/>
      <c r="F720" s="5"/>
      <c r="G720" s="5"/>
      <c r="H720" s="7"/>
    </row>
    <row r="721">
      <c r="C721" s="5"/>
      <c r="D721" s="5"/>
      <c r="E721" s="5"/>
      <c r="F721" s="5"/>
      <c r="G721" s="5"/>
      <c r="H721" s="7"/>
    </row>
    <row r="722">
      <c r="C722" s="5"/>
      <c r="D722" s="5"/>
      <c r="E722" s="5"/>
      <c r="F722" s="5"/>
      <c r="G722" s="5"/>
      <c r="H722" s="7"/>
    </row>
    <row r="723">
      <c r="C723" s="5"/>
      <c r="D723" s="5"/>
      <c r="E723" s="5"/>
      <c r="F723" s="5"/>
      <c r="G723" s="5"/>
      <c r="H723" s="7"/>
    </row>
    <row r="724">
      <c r="C724" s="5"/>
      <c r="D724" s="5"/>
      <c r="E724" s="5"/>
      <c r="F724" s="5"/>
      <c r="G724" s="5"/>
      <c r="H724" s="7"/>
    </row>
    <row r="725">
      <c r="C725" s="5"/>
      <c r="D725" s="5"/>
      <c r="E725" s="5"/>
      <c r="F725" s="5"/>
      <c r="G725" s="5"/>
      <c r="H725" s="7"/>
    </row>
    <row r="726">
      <c r="C726" s="5"/>
      <c r="D726" s="5"/>
      <c r="E726" s="5"/>
      <c r="F726" s="5"/>
      <c r="G726" s="5"/>
      <c r="H726" s="7"/>
    </row>
    <row r="727">
      <c r="C727" s="5"/>
      <c r="D727" s="5"/>
      <c r="E727" s="5"/>
      <c r="F727" s="5"/>
      <c r="G727" s="5"/>
      <c r="H727" s="7"/>
    </row>
    <row r="728">
      <c r="C728" s="5"/>
      <c r="D728" s="5"/>
      <c r="E728" s="5"/>
      <c r="F728" s="5"/>
      <c r="G728" s="5"/>
      <c r="H728" s="7"/>
    </row>
    <row r="729">
      <c r="C729" s="5"/>
      <c r="D729" s="5"/>
      <c r="E729" s="5"/>
      <c r="F729" s="5"/>
      <c r="G729" s="5"/>
      <c r="H729" s="7"/>
    </row>
    <row r="730">
      <c r="C730" s="5"/>
      <c r="D730" s="5"/>
      <c r="E730" s="5"/>
      <c r="F730" s="5"/>
      <c r="G730" s="5"/>
      <c r="H730" s="7"/>
    </row>
    <row r="731">
      <c r="C731" s="5"/>
      <c r="D731" s="5"/>
      <c r="E731" s="5"/>
      <c r="F731" s="5"/>
      <c r="G731" s="5"/>
      <c r="H731" s="7"/>
    </row>
    <row r="732">
      <c r="C732" s="5"/>
      <c r="D732" s="5"/>
      <c r="E732" s="5"/>
      <c r="F732" s="5"/>
      <c r="G732" s="5"/>
      <c r="H732" s="7"/>
    </row>
    <row r="733">
      <c r="C733" s="5"/>
      <c r="D733" s="5"/>
      <c r="E733" s="5"/>
      <c r="F733" s="5"/>
      <c r="G733" s="5"/>
      <c r="H733" s="7"/>
    </row>
    <row r="734">
      <c r="C734" s="5"/>
      <c r="D734" s="5"/>
      <c r="E734" s="5"/>
      <c r="F734" s="5"/>
      <c r="G734" s="5"/>
      <c r="H734" s="7"/>
    </row>
    <row r="735">
      <c r="C735" s="5"/>
      <c r="D735" s="5"/>
      <c r="E735" s="5"/>
      <c r="F735" s="5"/>
      <c r="G735" s="5"/>
      <c r="H735" s="7"/>
    </row>
    <row r="736">
      <c r="C736" s="5"/>
      <c r="D736" s="5"/>
      <c r="E736" s="5"/>
      <c r="F736" s="5"/>
      <c r="G736" s="5"/>
      <c r="H736" s="7"/>
    </row>
    <row r="737">
      <c r="C737" s="5"/>
      <c r="D737" s="5"/>
      <c r="E737" s="5"/>
      <c r="F737" s="5"/>
      <c r="G737" s="5"/>
      <c r="H737" s="7"/>
    </row>
    <row r="738">
      <c r="C738" s="5"/>
      <c r="D738" s="5"/>
      <c r="E738" s="5"/>
      <c r="F738" s="5"/>
      <c r="G738" s="5"/>
      <c r="H738" s="7"/>
    </row>
    <row r="739">
      <c r="C739" s="5"/>
      <c r="D739" s="5"/>
      <c r="E739" s="5"/>
      <c r="F739" s="5"/>
      <c r="G739" s="5"/>
      <c r="H739" s="7"/>
    </row>
    <row r="740">
      <c r="C740" s="5"/>
      <c r="D740" s="5"/>
      <c r="E740" s="5"/>
      <c r="F740" s="5"/>
      <c r="G740" s="5"/>
      <c r="H740" s="7"/>
    </row>
    <row r="741">
      <c r="C741" s="5"/>
      <c r="D741" s="5"/>
      <c r="E741" s="5"/>
      <c r="F741" s="5"/>
      <c r="G741" s="5"/>
      <c r="H741" s="7"/>
    </row>
    <row r="742">
      <c r="C742" s="5"/>
      <c r="D742" s="5"/>
      <c r="E742" s="5"/>
      <c r="F742" s="5"/>
      <c r="G742" s="5"/>
      <c r="H742" s="7"/>
    </row>
    <row r="743">
      <c r="C743" s="5"/>
      <c r="D743" s="5"/>
      <c r="E743" s="5"/>
      <c r="F743" s="5"/>
      <c r="G743" s="5"/>
      <c r="H743" s="7"/>
    </row>
    <row r="744">
      <c r="C744" s="5"/>
      <c r="D744" s="5"/>
      <c r="E744" s="5"/>
      <c r="F744" s="5"/>
      <c r="G744" s="5"/>
      <c r="H744" s="7"/>
    </row>
    <row r="745">
      <c r="C745" s="5"/>
      <c r="D745" s="5"/>
      <c r="E745" s="5"/>
      <c r="F745" s="5"/>
      <c r="G745" s="5"/>
      <c r="H745" s="7"/>
    </row>
    <row r="746">
      <c r="C746" s="5"/>
      <c r="D746" s="5"/>
      <c r="E746" s="5"/>
      <c r="F746" s="5"/>
      <c r="G746" s="5"/>
      <c r="H746" s="7"/>
    </row>
    <row r="747">
      <c r="C747" s="5"/>
      <c r="D747" s="5"/>
      <c r="E747" s="5"/>
      <c r="F747" s="5"/>
      <c r="G747" s="5"/>
      <c r="H747" s="7"/>
    </row>
    <row r="748">
      <c r="C748" s="5"/>
      <c r="D748" s="5"/>
      <c r="E748" s="5"/>
      <c r="F748" s="5"/>
      <c r="G748" s="5"/>
      <c r="H748" s="7"/>
    </row>
    <row r="749">
      <c r="C749" s="5"/>
      <c r="D749" s="5"/>
      <c r="E749" s="5"/>
      <c r="F749" s="5"/>
      <c r="G749" s="5"/>
      <c r="H749" s="7"/>
    </row>
    <row r="750">
      <c r="C750" s="5"/>
      <c r="D750" s="5"/>
      <c r="E750" s="5"/>
      <c r="F750" s="5"/>
      <c r="G750" s="5"/>
      <c r="H750" s="7"/>
    </row>
    <row r="751">
      <c r="C751" s="5"/>
      <c r="D751" s="5"/>
      <c r="E751" s="5"/>
      <c r="F751" s="5"/>
      <c r="G751" s="5"/>
      <c r="H751" s="7"/>
    </row>
    <row r="752">
      <c r="C752" s="5"/>
      <c r="D752" s="5"/>
      <c r="E752" s="5"/>
      <c r="F752" s="5"/>
      <c r="G752" s="5"/>
      <c r="H752" s="7"/>
    </row>
    <row r="753">
      <c r="C753" s="5"/>
      <c r="D753" s="5"/>
      <c r="E753" s="5"/>
      <c r="F753" s="5"/>
      <c r="G753" s="5"/>
      <c r="H753" s="7"/>
    </row>
    <row r="754">
      <c r="C754" s="5"/>
      <c r="D754" s="5"/>
      <c r="E754" s="5"/>
      <c r="F754" s="5"/>
      <c r="G754" s="5"/>
      <c r="H754" s="7"/>
    </row>
    <row r="755">
      <c r="C755" s="5"/>
      <c r="D755" s="5"/>
      <c r="E755" s="5"/>
      <c r="F755" s="5"/>
      <c r="G755" s="5"/>
      <c r="H755" s="7"/>
    </row>
    <row r="756">
      <c r="C756" s="5"/>
      <c r="D756" s="5"/>
      <c r="E756" s="5"/>
      <c r="F756" s="5"/>
      <c r="G756" s="5"/>
      <c r="H756" s="7"/>
    </row>
    <row r="757">
      <c r="C757" s="5"/>
      <c r="D757" s="5"/>
      <c r="E757" s="5"/>
      <c r="F757" s="5"/>
      <c r="G757" s="5"/>
      <c r="H757" s="7"/>
    </row>
    <row r="758">
      <c r="C758" s="5"/>
      <c r="D758" s="5"/>
      <c r="E758" s="5"/>
      <c r="F758" s="5"/>
      <c r="G758" s="5"/>
      <c r="H758" s="7"/>
    </row>
    <row r="759">
      <c r="C759" s="5"/>
      <c r="D759" s="5"/>
      <c r="E759" s="5"/>
      <c r="F759" s="5"/>
      <c r="G759" s="5"/>
      <c r="H759" s="7"/>
    </row>
    <row r="760">
      <c r="C760" s="5"/>
      <c r="D760" s="5"/>
      <c r="E760" s="5"/>
      <c r="F760" s="5"/>
      <c r="G760" s="5"/>
      <c r="H760" s="7"/>
    </row>
    <row r="761">
      <c r="C761" s="5"/>
      <c r="D761" s="5"/>
      <c r="E761" s="5"/>
      <c r="F761" s="5"/>
      <c r="G761" s="5"/>
      <c r="H761" s="7"/>
    </row>
    <row r="762">
      <c r="C762" s="5"/>
      <c r="D762" s="5"/>
      <c r="E762" s="5"/>
      <c r="F762" s="5"/>
      <c r="G762" s="5"/>
      <c r="H762" s="7"/>
    </row>
    <row r="763">
      <c r="C763" s="5"/>
      <c r="D763" s="5"/>
      <c r="E763" s="5"/>
      <c r="F763" s="5"/>
      <c r="G763" s="5"/>
      <c r="H763" s="7"/>
    </row>
    <row r="764">
      <c r="C764" s="5"/>
      <c r="D764" s="5"/>
      <c r="E764" s="5"/>
      <c r="F764" s="5"/>
      <c r="G764" s="5"/>
      <c r="H764" s="7"/>
    </row>
    <row r="765">
      <c r="C765" s="5"/>
      <c r="D765" s="5"/>
      <c r="E765" s="5"/>
      <c r="F765" s="5"/>
      <c r="G765" s="5"/>
      <c r="H765" s="7"/>
    </row>
    <row r="766">
      <c r="C766" s="5"/>
      <c r="D766" s="5"/>
      <c r="E766" s="5"/>
      <c r="F766" s="5"/>
      <c r="G766" s="5"/>
      <c r="H766" s="7"/>
    </row>
    <row r="767">
      <c r="C767" s="5"/>
      <c r="D767" s="5"/>
      <c r="E767" s="5"/>
      <c r="F767" s="5"/>
      <c r="G767" s="5"/>
      <c r="H767" s="7"/>
    </row>
    <row r="768">
      <c r="C768" s="5"/>
      <c r="D768" s="5"/>
      <c r="E768" s="5"/>
      <c r="F768" s="5"/>
      <c r="G768" s="5"/>
      <c r="H768" s="7"/>
    </row>
    <row r="769">
      <c r="C769" s="5"/>
      <c r="D769" s="5"/>
      <c r="E769" s="5"/>
      <c r="F769" s="5"/>
      <c r="G769" s="5"/>
      <c r="H769" s="7"/>
    </row>
    <row r="770">
      <c r="C770" s="5"/>
      <c r="D770" s="5"/>
      <c r="E770" s="5"/>
      <c r="F770" s="5"/>
      <c r="G770" s="5"/>
      <c r="H770" s="7"/>
    </row>
    <row r="771">
      <c r="C771" s="5"/>
      <c r="D771" s="5"/>
      <c r="E771" s="5"/>
      <c r="F771" s="5"/>
      <c r="G771" s="5"/>
      <c r="H771" s="7"/>
    </row>
    <row r="772">
      <c r="C772" s="5"/>
      <c r="D772" s="5"/>
      <c r="E772" s="5"/>
      <c r="F772" s="5"/>
      <c r="G772" s="5"/>
      <c r="H772" s="7"/>
    </row>
    <row r="773">
      <c r="C773" s="5"/>
      <c r="D773" s="5"/>
      <c r="E773" s="5"/>
      <c r="F773" s="5"/>
      <c r="G773" s="5"/>
      <c r="H773" s="7"/>
    </row>
    <row r="774">
      <c r="C774" s="5"/>
      <c r="D774" s="5"/>
      <c r="E774" s="5"/>
      <c r="F774" s="5"/>
      <c r="G774" s="5"/>
      <c r="H774" s="7"/>
    </row>
    <row r="775">
      <c r="C775" s="5"/>
      <c r="D775" s="5"/>
      <c r="E775" s="5"/>
      <c r="F775" s="5"/>
      <c r="G775" s="5"/>
      <c r="H775" s="7"/>
    </row>
    <row r="776">
      <c r="C776" s="5"/>
      <c r="D776" s="5"/>
      <c r="E776" s="5"/>
      <c r="F776" s="5"/>
      <c r="G776" s="5"/>
      <c r="H776" s="7"/>
    </row>
    <row r="777">
      <c r="C777" s="5"/>
      <c r="D777" s="5"/>
      <c r="E777" s="5"/>
      <c r="F777" s="5"/>
      <c r="G777" s="5"/>
      <c r="H777" s="7"/>
    </row>
    <row r="778">
      <c r="C778" s="5"/>
      <c r="D778" s="5"/>
      <c r="E778" s="5"/>
      <c r="F778" s="5"/>
      <c r="G778" s="5"/>
      <c r="H778" s="7"/>
    </row>
    <row r="779">
      <c r="C779" s="5"/>
      <c r="D779" s="5"/>
      <c r="E779" s="5"/>
      <c r="F779" s="5"/>
      <c r="G779" s="5"/>
      <c r="H779" s="7"/>
    </row>
    <row r="780">
      <c r="C780" s="5"/>
      <c r="D780" s="5"/>
      <c r="E780" s="5"/>
      <c r="F780" s="5"/>
      <c r="G780" s="5"/>
      <c r="H780" s="7"/>
    </row>
    <row r="781">
      <c r="C781" s="5"/>
      <c r="D781" s="5"/>
      <c r="E781" s="5"/>
      <c r="F781" s="5"/>
      <c r="G781" s="5"/>
      <c r="H781" s="7"/>
    </row>
    <row r="782">
      <c r="C782" s="5"/>
      <c r="D782" s="5"/>
      <c r="E782" s="5"/>
      <c r="F782" s="5"/>
      <c r="G782" s="5"/>
      <c r="H782" s="7"/>
    </row>
    <row r="783">
      <c r="C783" s="5"/>
      <c r="D783" s="5"/>
      <c r="E783" s="5"/>
      <c r="F783" s="5"/>
      <c r="G783" s="5"/>
      <c r="H783" s="7"/>
    </row>
    <row r="784">
      <c r="C784" s="5"/>
      <c r="D784" s="5"/>
      <c r="E784" s="5"/>
      <c r="F784" s="5"/>
      <c r="G784" s="5"/>
      <c r="H784" s="7"/>
    </row>
    <row r="785">
      <c r="C785" s="5"/>
      <c r="D785" s="5"/>
      <c r="E785" s="5"/>
      <c r="F785" s="5"/>
      <c r="G785" s="5"/>
      <c r="H785" s="7"/>
    </row>
    <row r="786">
      <c r="C786" s="5"/>
      <c r="D786" s="5"/>
      <c r="E786" s="5"/>
      <c r="F786" s="5"/>
      <c r="G786" s="5"/>
      <c r="H786" s="7"/>
    </row>
    <row r="787">
      <c r="C787" s="5"/>
      <c r="D787" s="5"/>
      <c r="E787" s="5"/>
      <c r="F787" s="5"/>
      <c r="G787" s="5"/>
      <c r="H787" s="7"/>
    </row>
    <row r="788">
      <c r="C788" s="5"/>
      <c r="D788" s="5"/>
      <c r="E788" s="5"/>
      <c r="F788" s="5"/>
      <c r="G788" s="5"/>
      <c r="H788" s="7"/>
    </row>
    <row r="789">
      <c r="C789" s="5"/>
      <c r="D789" s="5"/>
      <c r="E789" s="5"/>
      <c r="F789" s="5"/>
      <c r="G789" s="5"/>
      <c r="H789" s="7"/>
    </row>
    <row r="790">
      <c r="C790" s="5"/>
      <c r="D790" s="5"/>
      <c r="E790" s="5"/>
      <c r="F790" s="5"/>
      <c r="G790" s="5"/>
      <c r="H790" s="7"/>
    </row>
    <row r="791">
      <c r="C791" s="5"/>
      <c r="D791" s="5"/>
      <c r="E791" s="5"/>
      <c r="F791" s="5"/>
      <c r="G791" s="5"/>
      <c r="H791" s="7"/>
    </row>
    <row r="792">
      <c r="C792" s="5"/>
      <c r="D792" s="5"/>
      <c r="E792" s="5"/>
      <c r="F792" s="5"/>
      <c r="G792" s="5"/>
      <c r="H792" s="7"/>
    </row>
    <row r="793">
      <c r="C793" s="5"/>
      <c r="D793" s="5"/>
      <c r="E793" s="5"/>
      <c r="F793" s="5"/>
      <c r="G793" s="5"/>
      <c r="H793" s="7"/>
    </row>
    <row r="794">
      <c r="C794" s="5"/>
      <c r="D794" s="5"/>
      <c r="E794" s="5"/>
      <c r="F794" s="5"/>
      <c r="G794" s="5"/>
      <c r="H794" s="7"/>
    </row>
    <row r="795">
      <c r="C795" s="5"/>
      <c r="D795" s="5"/>
      <c r="E795" s="5"/>
      <c r="F795" s="5"/>
      <c r="G795" s="5"/>
      <c r="H795" s="7"/>
    </row>
    <row r="796">
      <c r="C796" s="5"/>
      <c r="D796" s="5"/>
      <c r="E796" s="5"/>
      <c r="F796" s="5"/>
      <c r="G796" s="5"/>
      <c r="H796" s="7"/>
    </row>
    <row r="797">
      <c r="C797" s="5"/>
      <c r="D797" s="5"/>
      <c r="E797" s="5"/>
      <c r="F797" s="5"/>
      <c r="G797" s="5"/>
      <c r="H797" s="7"/>
    </row>
    <row r="798">
      <c r="C798" s="5"/>
      <c r="D798" s="5"/>
      <c r="E798" s="5"/>
      <c r="F798" s="5"/>
      <c r="G798" s="5"/>
      <c r="H798" s="7"/>
    </row>
    <row r="799">
      <c r="C799" s="5"/>
      <c r="D799" s="5"/>
      <c r="E799" s="5"/>
      <c r="F799" s="5"/>
      <c r="G799" s="5"/>
      <c r="H799" s="7"/>
    </row>
    <row r="800">
      <c r="C800" s="5"/>
      <c r="D800" s="5"/>
      <c r="E800" s="5"/>
      <c r="F800" s="5"/>
      <c r="G800" s="5"/>
      <c r="H800" s="7"/>
    </row>
    <row r="801">
      <c r="C801" s="5"/>
      <c r="D801" s="5"/>
      <c r="E801" s="5"/>
      <c r="F801" s="5"/>
      <c r="G801" s="5"/>
      <c r="H801" s="7"/>
    </row>
    <row r="802">
      <c r="C802" s="5"/>
      <c r="D802" s="5"/>
      <c r="E802" s="5"/>
      <c r="F802" s="5"/>
      <c r="G802" s="5"/>
      <c r="H802" s="7"/>
    </row>
    <row r="803">
      <c r="C803" s="5"/>
      <c r="D803" s="5"/>
      <c r="E803" s="5"/>
      <c r="F803" s="5"/>
      <c r="G803" s="5"/>
      <c r="H803" s="7"/>
    </row>
    <row r="804">
      <c r="C804" s="5"/>
      <c r="D804" s="5"/>
      <c r="E804" s="5"/>
      <c r="F804" s="5"/>
      <c r="G804" s="5"/>
      <c r="H804" s="7"/>
    </row>
    <row r="805">
      <c r="C805" s="5"/>
      <c r="D805" s="5"/>
      <c r="E805" s="5"/>
      <c r="F805" s="5"/>
      <c r="G805" s="5"/>
      <c r="H805" s="7"/>
    </row>
    <row r="806">
      <c r="C806" s="5"/>
      <c r="D806" s="5"/>
      <c r="E806" s="5"/>
      <c r="F806" s="5"/>
      <c r="G806" s="5"/>
      <c r="H806" s="7"/>
    </row>
    <row r="807">
      <c r="C807" s="5"/>
      <c r="D807" s="5"/>
      <c r="E807" s="5"/>
      <c r="F807" s="5"/>
      <c r="G807" s="5"/>
      <c r="H807" s="7"/>
    </row>
    <row r="808">
      <c r="C808" s="5"/>
      <c r="D808" s="5"/>
      <c r="E808" s="5"/>
      <c r="F808" s="5"/>
      <c r="G808" s="5"/>
      <c r="H808" s="7"/>
    </row>
    <row r="809">
      <c r="C809" s="5"/>
      <c r="D809" s="5"/>
      <c r="E809" s="5"/>
      <c r="F809" s="5"/>
      <c r="G809" s="5"/>
      <c r="H809" s="7"/>
    </row>
    <row r="810">
      <c r="C810" s="5"/>
      <c r="D810" s="5"/>
      <c r="E810" s="5"/>
      <c r="F810" s="5"/>
      <c r="G810" s="5"/>
      <c r="H810" s="7"/>
    </row>
    <row r="811">
      <c r="C811" s="5"/>
      <c r="D811" s="5"/>
      <c r="E811" s="5"/>
      <c r="F811" s="5"/>
      <c r="G811" s="5"/>
      <c r="H811" s="7"/>
    </row>
    <row r="812">
      <c r="C812" s="5"/>
      <c r="D812" s="5"/>
      <c r="E812" s="5"/>
      <c r="F812" s="5"/>
      <c r="G812" s="5"/>
      <c r="H812" s="7"/>
    </row>
    <row r="813">
      <c r="C813" s="5"/>
      <c r="D813" s="5"/>
      <c r="E813" s="5"/>
      <c r="F813" s="5"/>
      <c r="G813" s="5"/>
      <c r="H813" s="7"/>
    </row>
    <row r="814">
      <c r="C814" s="5"/>
      <c r="D814" s="5"/>
      <c r="E814" s="5"/>
      <c r="F814" s="5"/>
      <c r="G814" s="5"/>
      <c r="H814" s="7"/>
    </row>
    <row r="815">
      <c r="C815" s="5"/>
      <c r="D815" s="5"/>
      <c r="E815" s="5"/>
      <c r="F815" s="5"/>
      <c r="G815" s="5"/>
      <c r="H815" s="7"/>
    </row>
    <row r="816">
      <c r="C816" s="5"/>
      <c r="D816" s="5"/>
      <c r="E816" s="5"/>
      <c r="F816" s="5"/>
      <c r="G816" s="5"/>
      <c r="H816" s="7"/>
    </row>
    <row r="817">
      <c r="C817" s="5"/>
      <c r="D817" s="5"/>
      <c r="E817" s="5"/>
      <c r="F817" s="5"/>
      <c r="G817" s="5"/>
      <c r="H817" s="7"/>
    </row>
    <row r="818">
      <c r="C818" s="5"/>
      <c r="D818" s="5"/>
      <c r="E818" s="5"/>
      <c r="F818" s="5"/>
      <c r="G818" s="5"/>
      <c r="H818" s="7"/>
    </row>
    <row r="819">
      <c r="C819" s="5"/>
      <c r="D819" s="5"/>
      <c r="E819" s="5"/>
      <c r="F819" s="5"/>
      <c r="G819" s="5"/>
      <c r="H819" s="7"/>
    </row>
    <row r="820">
      <c r="C820" s="5"/>
      <c r="D820" s="5"/>
      <c r="E820" s="5"/>
      <c r="F820" s="5"/>
      <c r="G820" s="5"/>
      <c r="H820" s="7"/>
    </row>
    <row r="821">
      <c r="C821" s="5"/>
      <c r="D821" s="5"/>
      <c r="E821" s="5"/>
      <c r="F821" s="5"/>
      <c r="G821" s="5"/>
      <c r="H821" s="7"/>
    </row>
    <row r="822">
      <c r="C822" s="5"/>
      <c r="D822" s="5"/>
      <c r="E822" s="5"/>
      <c r="F822" s="5"/>
      <c r="G822" s="5"/>
      <c r="H822" s="7"/>
    </row>
    <row r="823">
      <c r="C823" s="5"/>
      <c r="D823" s="5"/>
      <c r="E823" s="5"/>
      <c r="F823" s="5"/>
      <c r="G823" s="5"/>
      <c r="H823" s="7"/>
    </row>
    <row r="824">
      <c r="C824" s="5"/>
      <c r="D824" s="5"/>
      <c r="E824" s="5"/>
      <c r="F824" s="5"/>
      <c r="G824" s="5"/>
      <c r="H824" s="7"/>
    </row>
    <row r="825">
      <c r="C825" s="5"/>
      <c r="D825" s="5"/>
      <c r="E825" s="5"/>
      <c r="F825" s="5"/>
      <c r="G825" s="5"/>
      <c r="H825" s="7"/>
    </row>
    <row r="826">
      <c r="C826" s="5"/>
      <c r="D826" s="5"/>
      <c r="E826" s="5"/>
      <c r="F826" s="5"/>
      <c r="G826" s="5"/>
      <c r="H826" s="7"/>
    </row>
    <row r="827">
      <c r="C827" s="5"/>
      <c r="D827" s="5"/>
      <c r="E827" s="5"/>
      <c r="F827" s="5"/>
      <c r="G827" s="5"/>
      <c r="H827" s="7"/>
    </row>
    <row r="828">
      <c r="C828" s="5"/>
      <c r="D828" s="5"/>
      <c r="E828" s="5"/>
      <c r="F828" s="5"/>
      <c r="G828" s="5"/>
      <c r="H828" s="7"/>
    </row>
    <row r="829">
      <c r="C829" s="5"/>
      <c r="D829" s="5"/>
      <c r="E829" s="5"/>
      <c r="F829" s="5"/>
      <c r="G829" s="5"/>
      <c r="H829" s="7"/>
    </row>
    <row r="830">
      <c r="C830" s="5"/>
      <c r="D830" s="5"/>
      <c r="E830" s="5"/>
      <c r="F830" s="5"/>
      <c r="G830" s="5"/>
      <c r="H830" s="7"/>
    </row>
    <row r="831">
      <c r="C831" s="5"/>
      <c r="D831" s="5"/>
      <c r="E831" s="5"/>
      <c r="F831" s="5"/>
      <c r="G831" s="5"/>
      <c r="H831" s="7"/>
    </row>
    <row r="832">
      <c r="C832" s="5"/>
      <c r="D832" s="5"/>
      <c r="E832" s="5"/>
      <c r="F832" s="5"/>
      <c r="G832" s="5"/>
      <c r="H832" s="7"/>
    </row>
    <row r="833">
      <c r="C833" s="5"/>
      <c r="D833" s="5"/>
      <c r="E833" s="5"/>
      <c r="F833" s="5"/>
      <c r="G833" s="5"/>
      <c r="H833" s="7"/>
    </row>
    <row r="834">
      <c r="C834" s="5"/>
      <c r="D834" s="5"/>
      <c r="E834" s="5"/>
      <c r="F834" s="5"/>
      <c r="G834" s="5"/>
      <c r="H834" s="7"/>
    </row>
    <row r="835">
      <c r="C835" s="5"/>
      <c r="D835" s="5"/>
      <c r="E835" s="5"/>
      <c r="F835" s="5"/>
      <c r="G835" s="5"/>
      <c r="H835" s="7"/>
    </row>
    <row r="836">
      <c r="C836" s="5"/>
      <c r="D836" s="5"/>
      <c r="E836" s="5"/>
      <c r="F836" s="5"/>
      <c r="G836" s="5"/>
      <c r="H836" s="7"/>
    </row>
    <row r="837">
      <c r="C837" s="5"/>
      <c r="D837" s="5"/>
      <c r="E837" s="5"/>
      <c r="F837" s="5"/>
      <c r="G837" s="5"/>
      <c r="H837" s="7"/>
    </row>
    <row r="838">
      <c r="C838" s="5"/>
      <c r="D838" s="5"/>
      <c r="E838" s="5"/>
      <c r="F838" s="5"/>
      <c r="G838" s="5"/>
      <c r="H838" s="7"/>
    </row>
    <row r="839">
      <c r="C839" s="5"/>
      <c r="D839" s="5"/>
      <c r="E839" s="5"/>
      <c r="F839" s="5"/>
      <c r="G839" s="5"/>
      <c r="H839" s="7"/>
    </row>
    <row r="840">
      <c r="C840" s="5"/>
      <c r="D840" s="5"/>
      <c r="E840" s="5"/>
      <c r="F840" s="5"/>
      <c r="G840" s="5"/>
      <c r="H840" s="7"/>
    </row>
    <row r="841">
      <c r="C841" s="5"/>
      <c r="D841" s="5"/>
      <c r="E841" s="5"/>
      <c r="F841" s="5"/>
      <c r="G841" s="5"/>
      <c r="H841" s="7"/>
    </row>
    <row r="842">
      <c r="C842" s="5"/>
      <c r="D842" s="5"/>
      <c r="E842" s="5"/>
      <c r="F842" s="5"/>
      <c r="G842" s="5"/>
      <c r="H842" s="7"/>
    </row>
    <row r="843">
      <c r="C843" s="5"/>
      <c r="D843" s="5"/>
      <c r="E843" s="5"/>
      <c r="F843" s="5"/>
      <c r="G843" s="5"/>
      <c r="H843" s="7"/>
    </row>
    <row r="844">
      <c r="C844" s="5"/>
      <c r="D844" s="5"/>
      <c r="E844" s="5"/>
      <c r="F844" s="5"/>
      <c r="G844" s="5"/>
      <c r="H844" s="7"/>
    </row>
    <row r="845">
      <c r="C845" s="5"/>
      <c r="D845" s="5"/>
      <c r="E845" s="5"/>
      <c r="F845" s="5"/>
      <c r="G845" s="5"/>
      <c r="H845" s="7"/>
    </row>
    <row r="846">
      <c r="C846" s="5"/>
      <c r="D846" s="5"/>
      <c r="E846" s="5"/>
      <c r="F846" s="5"/>
      <c r="G846" s="5"/>
      <c r="H846" s="7"/>
    </row>
    <row r="847">
      <c r="C847" s="5"/>
      <c r="D847" s="5"/>
      <c r="E847" s="5"/>
      <c r="F847" s="5"/>
      <c r="G847" s="5"/>
      <c r="H847" s="7"/>
    </row>
    <row r="848">
      <c r="C848" s="5"/>
      <c r="D848" s="5"/>
      <c r="E848" s="5"/>
      <c r="F848" s="5"/>
      <c r="G848" s="5"/>
      <c r="H848" s="7"/>
    </row>
    <row r="849">
      <c r="C849" s="5"/>
      <c r="D849" s="5"/>
      <c r="E849" s="5"/>
      <c r="F849" s="5"/>
      <c r="G849" s="5"/>
      <c r="H849" s="7"/>
    </row>
    <row r="850">
      <c r="C850" s="5"/>
      <c r="D850" s="5"/>
      <c r="E850" s="5"/>
      <c r="F850" s="5"/>
      <c r="G850" s="5"/>
      <c r="H850" s="7"/>
    </row>
    <row r="851">
      <c r="C851" s="5"/>
      <c r="D851" s="5"/>
      <c r="E851" s="5"/>
      <c r="F851" s="5"/>
      <c r="G851" s="5"/>
      <c r="H851" s="7"/>
    </row>
    <row r="852">
      <c r="C852" s="5"/>
      <c r="D852" s="5"/>
      <c r="E852" s="5"/>
      <c r="F852" s="5"/>
      <c r="G852" s="5"/>
      <c r="H852" s="7"/>
    </row>
    <row r="853">
      <c r="C853" s="5"/>
      <c r="D853" s="5"/>
      <c r="E853" s="5"/>
      <c r="F853" s="5"/>
      <c r="G853" s="5"/>
      <c r="H853" s="7"/>
    </row>
    <row r="854">
      <c r="C854" s="5"/>
      <c r="D854" s="5"/>
      <c r="E854" s="5"/>
      <c r="F854" s="5"/>
      <c r="G854" s="5"/>
      <c r="H854" s="7"/>
    </row>
    <row r="855">
      <c r="C855" s="5"/>
      <c r="D855" s="5"/>
      <c r="E855" s="5"/>
      <c r="F855" s="5"/>
      <c r="G855" s="5"/>
      <c r="H855" s="7"/>
    </row>
    <row r="856">
      <c r="C856" s="5"/>
      <c r="D856" s="5"/>
      <c r="E856" s="5"/>
      <c r="F856" s="5"/>
      <c r="G856" s="5"/>
      <c r="H856" s="7"/>
    </row>
    <row r="857">
      <c r="C857" s="5"/>
      <c r="D857" s="5"/>
      <c r="E857" s="5"/>
      <c r="F857" s="5"/>
      <c r="G857" s="5"/>
      <c r="H857" s="7"/>
    </row>
    <row r="858">
      <c r="C858" s="5"/>
      <c r="D858" s="5"/>
      <c r="E858" s="5"/>
      <c r="F858" s="5"/>
      <c r="G858" s="5"/>
      <c r="H858" s="7"/>
    </row>
    <row r="859">
      <c r="C859" s="5"/>
      <c r="D859" s="5"/>
      <c r="E859" s="5"/>
      <c r="F859" s="5"/>
      <c r="G859" s="5"/>
      <c r="H859" s="7"/>
    </row>
    <row r="860">
      <c r="C860" s="5"/>
      <c r="D860" s="5"/>
      <c r="E860" s="5"/>
      <c r="F860" s="5"/>
      <c r="G860" s="5"/>
      <c r="H860" s="7"/>
    </row>
    <row r="861">
      <c r="C861" s="5"/>
      <c r="D861" s="5"/>
      <c r="E861" s="5"/>
      <c r="F861" s="5"/>
      <c r="G861" s="5"/>
      <c r="H861" s="7"/>
    </row>
    <row r="862">
      <c r="C862" s="5"/>
      <c r="D862" s="5"/>
      <c r="E862" s="5"/>
      <c r="F862" s="5"/>
      <c r="G862" s="5"/>
      <c r="H862" s="7"/>
    </row>
    <row r="863">
      <c r="C863" s="5"/>
      <c r="D863" s="5"/>
      <c r="E863" s="5"/>
      <c r="F863" s="5"/>
      <c r="G863" s="5"/>
      <c r="H863" s="7"/>
    </row>
    <row r="864">
      <c r="C864" s="5"/>
      <c r="D864" s="5"/>
      <c r="E864" s="5"/>
      <c r="F864" s="5"/>
      <c r="G864" s="5"/>
      <c r="H864" s="7"/>
    </row>
    <row r="865">
      <c r="C865" s="5"/>
      <c r="D865" s="5"/>
      <c r="E865" s="5"/>
      <c r="F865" s="5"/>
      <c r="G865" s="5"/>
      <c r="H865" s="7"/>
    </row>
    <row r="866">
      <c r="C866" s="5"/>
      <c r="D866" s="5"/>
      <c r="E866" s="5"/>
      <c r="F866" s="5"/>
      <c r="G866" s="5"/>
      <c r="H866" s="7"/>
    </row>
    <row r="867">
      <c r="C867" s="5"/>
      <c r="D867" s="5"/>
      <c r="E867" s="5"/>
      <c r="F867" s="5"/>
      <c r="G867" s="5"/>
      <c r="H867" s="7"/>
    </row>
    <row r="868">
      <c r="C868" s="5"/>
      <c r="D868" s="5"/>
      <c r="E868" s="5"/>
      <c r="F868" s="5"/>
      <c r="G868" s="5"/>
      <c r="H868" s="7"/>
    </row>
    <row r="869">
      <c r="C869" s="5"/>
      <c r="D869" s="5"/>
      <c r="E869" s="5"/>
      <c r="F869" s="5"/>
      <c r="G869" s="5"/>
      <c r="H869" s="7"/>
    </row>
    <row r="870">
      <c r="C870" s="5"/>
      <c r="D870" s="5"/>
      <c r="E870" s="5"/>
      <c r="F870" s="5"/>
      <c r="G870" s="5"/>
      <c r="H870" s="7"/>
    </row>
    <row r="871">
      <c r="C871" s="5"/>
      <c r="D871" s="5"/>
      <c r="E871" s="5"/>
      <c r="F871" s="5"/>
      <c r="G871" s="5"/>
      <c r="H871" s="7"/>
    </row>
    <row r="872">
      <c r="C872" s="5"/>
      <c r="D872" s="5"/>
      <c r="E872" s="5"/>
      <c r="F872" s="5"/>
      <c r="G872" s="5"/>
      <c r="H872" s="7"/>
    </row>
    <row r="873">
      <c r="C873" s="5"/>
      <c r="D873" s="5"/>
      <c r="E873" s="5"/>
      <c r="F873" s="5"/>
      <c r="G873" s="5"/>
      <c r="H873" s="7"/>
    </row>
    <row r="874">
      <c r="C874" s="5"/>
      <c r="D874" s="5"/>
      <c r="E874" s="5"/>
      <c r="F874" s="5"/>
      <c r="G874" s="5"/>
      <c r="H874" s="7"/>
    </row>
    <row r="875">
      <c r="C875" s="5"/>
      <c r="D875" s="5"/>
      <c r="E875" s="5"/>
      <c r="F875" s="5"/>
      <c r="G875" s="5"/>
      <c r="H875" s="7"/>
    </row>
    <row r="876">
      <c r="C876" s="5"/>
      <c r="D876" s="5"/>
      <c r="E876" s="5"/>
      <c r="F876" s="5"/>
      <c r="G876" s="5"/>
      <c r="H876" s="7"/>
    </row>
    <row r="877">
      <c r="C877" s="5"/>
      <c r="D877" s="5"/>
      <c r="E877" s="5"/>
      <c r="F877" s="5"/>
      <c r="G877" s="5"/>
      <c r="H877" s="7"/>
    </row>
    <row r="878">
      <c r="C878" s="5"/>
      <c r="D878" s="5"/>
      <c r="E878" s="5"/>
      <c r="F878" s="5"/>
      <c r="G878" s="5"/>
      <c r="H878" s="7"/>
    </row>
    <row r="879">
      <c r="C879" s="5"/>
      <c r="D879" s="5"/>
      <c r="E879" s="5"/>
      <c r="F879" s="5"/>
      <c r="G879" s="5"/>
      <c r="H879" s="7"/>
    </row>
    <row r="880">
      <c r="C880" s="5"/>
      <c r="D880" s="5"/>
      <c r="E880" s="5"/>
      <c r="F880" s="5"/>
      <c r="G880" s="5"/>
      <c r="H880" s="7"/>
    </row>
    <row r="881">
      <c r="C881" s="5"/>
      <c r="D881" s="5"/>
      <c r="E881" s="5"/>
      <c r="F881" s="5"/>
      <c r="G881" s="5"/>
      <c r="H881" s="7"/>
    </row>
    <row r="882">
      <c r="C882" s="5"/>
      <c r="D882" s="5"/>
      <c r="E882" s="5"/>
      <c r="F882" s="5"/>
      <c r="G882" s="5"/>
      <c r="H882" s="7"/>
    </row>
    <row r="883">
      <c r="C883" s="5"/>
      <c r="D883" s="5"/>
      <c r="E883" s="5"/>
      <c r="F883" s="5"/>
      <c r="G883" s="5"/>
      <c r="H883" s="7"/>
    </row>
    <row r="884">
      <c r="C884" s="5"/>
      <c r="D884" s="5"/>
      <c r="E884" s="5"/>
      <c r="F884" s="5"/>
      <c r="G884" s="5"/>
      <c r="H884" s="7"/>
    </row>
    <row r="885">
      <c r="C885" s="5"/>
      <c r="D885" s="5"/>
      <c r="E885" s="5"/>
      <c r="F885" s="5"/>
      <c r="G885" s="5"/>
      <c r="H885" s="7"/>
    </row>
    <row r="886">
      <c r="C886" s="5"/>
      <c r="D886" s="5"/>
      <c r="E886" s="5"/>
      <c r="F886" s="5"/>
      <c r="G886" s="5"/>
      <c r="H886" s="7"/>
    </row>
    <row r="887">
      <c r="C887" s="5"/>
      <c r="D887" s="5"/>
      <c r="E887" s="5"/>
      <c r="F887" s="5"/>
      <c r="G887" s="5"/>
      <c r="H887" s="7"/>
    </row>
    <row r="888">
      <c r="C888" s="5"/>
      <c r="D888" s="5"/>
      <c r="E888" s="5"/>
      <c r="F888" s="5"/>
      <c r="G888" s="5"/>
      <c r="H888" s="7"/>
    </row>
    <row r="889">
      <c r="C889" s="5"/>
      <c r="D889" s="5"/>
      <c r="E889" s="5"/>
      <c r="F889" s="5"/>
      <c r="G889" s="5"/>
      <c r="H889" s="7"/>
    </row>
    <row r="890">
      <c r="C890" s="5"/>
      <c r="D890" s="5"/>
      <c r="E890" s="5"/>
      <c r="F890" s="5"/>
      <c r="G890" s="5"/>
      <c r="H890" s="7"/>
    </row>
    <row r="891">
      <c r="C891" s="5"/>
      <c r="D891" s="5"/>
      <c r="E891" s="5"/>
      <c r="F891" s="5"/>
      <c r="G891" s="5"/>
      <c r="H891" s="7"/>
    </row>
    <row r="892">
      <c r="C892" s="5"/>
      <c r="D892" s="5"/>
      <c r="E892" s="5"/>
      <c r="F892" s="5"/>
      <c r="G892" s="5"/>
      <c r="H892" s="7"/>
    </row>
    <row r="893">
      <c r="C893" s="5"/>
      <c r="D893" s="5"/>
      <c r="E893" s="5"/>
      <c r="F893" s="5"/>
      <c r="G893" s="5"/>
      <c r="H893" s="7"/>
    </row>
    <row r="894">
      <c r="C894" s="5"/>
      <c r="D894" s="5"/>
      <c r="E894" s="5"/>
      <c r="F894" s="5"/>
      <c r="G894" s="5"/>
      <c r="H894" s="7"/>
    </row>
    <row r="895">
      <c r="C895" s="5"/>
      <c r="D895" s="5"/>
      <c r="E895" s="5"/>
      <c r="F895" s="5"/>
      <c r="G895" s="5"/>
      <c r="H895" s="7"/>
    </row>
    <row r="896">
      <c r="C896" s="5"/>
      <c r="D896" s="5"/>
      <c r="E896" s="5"/>
      <c r="F896" s="5"/>
      <c r="G896" s="5"/>
      <c r="H896" s="7"/>
    </row>
    <row r="897">
      <c r="C897" s="5"/>
      <c r="D897" s="5"/>
      <c r="E897" s="5"/>
      <c r="F897" s="5"/>
      <c r="G897" s="5"/>
      <c r="H897" s="7"/>
    </row>
    <row r="898">
      <c r="C898" s="5"/>
      <c r="D898" s="5"/>
      <c r="E898" s="5"/>
      <c r="F898" s="5"/>
      <c r="G898" s="5"/>
      <c r="H898" s="7"/>
    </row>
    <row r="899">
      <c r="C899" s="5"/>
      <c r="D899" s="5"/>
      <c r="E899" s="5"/>
      <c r="F899" s="5"/>
      <c r="G899" s="5"/>
      <c r="H899" s="7"/>
    </row>
    <row r="900">
      <c r="C900" s="5"/>
      <c r="D900" s="5"/>
      <c r="E900" s="5"/>
      <c r="F900" s="5"/>
      <c r="G900" s="5"/>
      <c r="H900" s="7"/>
    </row>
    <row r="901">
      <c r="C901" s="5"/>
      <c r="D901" s="5"/>
      <c r="E901" s="5"/>
      <c r="F901" s="5"/>
      <c r="G901" s="5"/>
      <c r="H901" s="7"/>
    </row>
    <row r="902">
      <c r="C902" s="5"/>
      <c r="D902" s="5"/>
      <c r="E902" s="5"/>
      <c r="F902" s="5"/>
      <c r="G902" s="5"/>
      <c r="H902" s="7"/>
    </row>
    <row r="903">
      <c r="C903" s="5"/>
      <c r="D903" s="5"/>
      <c r="E903" s="5"/>
      <c r="F903" s="5"/>
      <c r="G903" s="5"/>
      <c r="H903" s="7"/>
    </row>
    <row r="904">
      <c r="C904" s="5"/>
      <c r="D904" s="5"/>
      <c r="E904" s="5"/>
      <c r="F904" s="5"/>
      <c r="G904" s="5"/>
      <c r="H904" s="7"/>
    </row>
    <row r="905">
      <c r="C905" s="5"/>
      <c r="D905" s="5"/>
      <c r="E905" s="5"/>
      <c r="F905" s="5"/>
      <c r="G905" s="5"/>
      <c r="H905" s="7"/>
    </row>
    <row r="906">
      <c r="C906" s="5"/>
      <c r="D906" s="5"/>
      <c r="E906" s="5"/>
      <c r="F906" s="5"/>
      <c r="G906" s="5"/>
      <c r="H906" s="7"/>
    </row>
    <row r="907">
      <c r="C907" s="5"/>
      <c r="D907" s="5"/>
      <c r="E907" s="5"/>
      <c r="F907" s="5"/>
      <c r="G907" s="5"/>
      <c r="H907" s="7"/>
    </row>
    <row r="908">
      <c r="C908" s="5"/>
      <c r="D908" s="5"/>
      <c r="E908" s="5"/>
      <c r="F908" s="5"/>
      <c r="G908" s="5"/>
      <c r="H908" s="7"/>
    </row>
    <row r="909">
      <c r="C909" s="5"/>
      <c r="D909" s="5"/>
      <c r="E909" s="5"/>
      <c r="F909" s="5"/>
      <c r="G909" s="5"/>
      <c r="H909" s="7"/>
    </row>
    <row r="910">
      <c r="C910" s="5"/>
      <c r="D910" s="5"/>
      <c r="E910" s="5"/>
      <c r="F910" s="5"/>
      <c r="G910" s="5"/>
      <c r="H910" s="7"/>
    </row>
    <row r="911">
      <c r="C911" s="5"/>
      <c r="D911" s="5"/>
      <c r="E911" s="5"/>
      <c r="F911" s="5"/>
      <c r="G911" s="5"/>
      <c r="H911" s="7"/>
    </row>
    <row r="912">
      <c r="C912" s="5"/>
      <c r="D912" s="5"/>
      <c r="E912" s="5"/>
      <c r="F912" s="5"/>
      <c r="G912" s="5"/>
      <c r="H912" s="7"/>
    </row>
    <row r="913">
      <c r="C913" s="5"/>
      <c r="D913" s="5"/>
      <c r="E913" s="5"/>
      <c r="F913" s="5"/>
      <c r="G913" s="5"/>
      <c r="H913" s="7"/>
    </row>
    <row r="914">
      <c r="C914" s="5"/>
      <c r="D914" s="5"/>
      <c r="E914" s="5"/>
      <c r="F914" s="5"/>
      <c r="G914" s="5"/>
      <c r="H914" s="7"/>
    </row>
    <row r="915">
      <c r="C915" s="5"/>
      <c r="D915" s="5"/>
      <c r="E915" s="5"/>
      <c r="F915" s="5"/>
      <c r="G915" s="5"/>
      <c r="H915" s="7"/>
    </row>
    <row r="916">
      <c r="C916" s="5"/>
      <c r="D916" s="5"/>
      <c r="E916" s="5"/>
      <c r="F916" s="5"/>
      <c r="G916" s="5"/>
      <c r="H916" s="7"/>
    </row>
    <row r="917">
      <c r="C917" s="5"/>
      <c r="D917" s="5"/>
      <c r="E917" s="5"/>
      <c r="F917" s="5"/>
      <c r="G917" s="5"/>
      <c r="H917" s="7"/>
    </row>
    <row r="918">
      <c r="C918" s="5"/>
      <c r="D918" s="5"/>
      <c r="E918" s="5"/>
      <c r="F918" s="5"/>
      <c r="G918" s="5"/>
      <c r="H918" s="7"/>
    </row>
    <row r="919">
      <c r="C919" s="5"/>
      <c r="D919" s="5"/>
      <c r="E919" s="5"/>
      <c r="F919" s="5"/>
      <c r="G919" s="5"/>
      <c r="H919" s="7"/>
    </row>
    <row r="920">
      <c r="C920" s="5"/>
      <c r="D920" s="5"/>
      <c r="E920" s="5"/>
      <c r="F920" s="5"/>
      <c r="G920" s="5"/>
      <c r="H920" s="7"/>
    </row>
    <row r="921">
      <c r="C921" s="5"/>
      <c r="D921" s="5"/>
      <c r="E921" s="5"/>
      <c r="F921" s="5"/>
      <c r="G921" s="5"/>
      <c r="H921" s="7"/>
    </row>
    <row r="922">
      <c r="C922" s="5"/>
      <c r="D922" s="5"/>
      <c r="E922" s="5"/>
      <c r="F922" s="5"/>
      <c r="G922" s="5"/>
      <c r="H922" s="7"/>
    </row>
    <row r="923">
      <c r="C923" s="5"/>
      <c r="D923" s="5"/>
      <c r="E923" s="5"/>
      <c r="F923" s="5"/>
      <c r="G923" s="5"/>
      <c r="H923" s="7"/>
    </row>
    <row r="924">
      <c r="C924" s="5"/>
      <c r="D924" s="5"/>
      <c r="E924" s="5"/>
      <c r="F924" s="5"/>
      <c r="G924" s="5"/>
      <c r="H924" s="7"/>
    </row>
    <row r="925">
      <c r="C925" s="5"/>
      <c r="D925" s="5"/>
      <c r="E925" s="5"/>
      <c r="F925" s="5"/>
      <c r="G925" s="5"/>
      <c r="H925" s="7"/>
    </row>
    <row r="926">
      <c r="C926" s="5"/>
      <c r="D926" s="5"/>
      <c r="E926" s="5"/>
      <c r="F926" s="5"/>
      <c r="G926" s="5"/>
      <c r="H926" s="7"/>
    </row>
    <row r="927">
      <c r="C927" s="5"/>
      <c r="D927" s="5"/>
      <c r="E927" s="5"/>
      <c r="F927" s="5"/>
      <c r="G927" s="5"/>
      <c r="H927" s="7"/>
    </row>
    <row r="928">
      <c r="C928" s="5"/>
      <c r="D928" s="5"/>
      <c r="E928" s="5"/>
      <c r="F928" s="5"/>
      <c r="G928" s="5"/>
      <c r="H928" s="7"/>
    </row>
    <row r="929">
      <c r="C929" s="5"/>
      <c r="D929" s="5"/>
      <c r="E929" s="5"/>
      <c r="F929" s="5"/>
      <c r="G929" s="5"/>
      <c r="H929" s="7"/>
    </row>
    <row r="930">
      <c r="C930" s="5"/>
      <c r="D930" s="5"/>
      <c r="E930" s="5"/>
      <c r="F930" s="5"/>
      <c r="G930" s="5"/>
      <c r="H930" s="7"/>
    </row>
    <row r="931">
      <c r="C931" s="5"/>
      <c r="D931" s="5"/>
      <c r="E931" s="5"/>
      <c r="F931" s="5"/>
      <c r="G931" s="5"/>
      <c r="H931" s="7"/>
    </row>
    <row r="932">
      <c r="C932" s="5"/>
      <c r="D932" s="5"/>
      <c r="E932" s="5"/>
      <c r="F932" s="5"/>
      <c r="G932" s="5"/>
      <c r="H932" s="7"/>
    </row>
    <row r="933">
      <c r="C933" s="5"/>
      <c r="D933" s="5"/>
      <c r="E933" s="5"/>
      <c r="F933" s="5"/>
      <c r="G933" s="5"/>
      <c r="H933" s="7"/>
    </row>
    <row r="934">
      <c r="C934" s="5"/>
      <c r="D934" s="5"/>
      <c r="E934" s="5"/>
      <c r="F934" s="5"/>
      <c r="G934" s="5"/>
      <c r="H934" s="7"/>
    </row>
    <row r="935">
      <c r="C935" s="5"/>
      <c r="D935" s="5"/>
      <c r="E935" s="5"/>
      <c r="F935" s="5"/>
      <c r="G935" s="5"/>
      <c r="H935" s="7"/>
    </row>
    <row r="936">
      <c r="C936" s="5"/>
      <c r="D936" s="5"/>
      <c r="E936" s="5"/>
      <c r="F936" s="5"/>
      <c r="G936" s="5"/>
      <c r="H936" s="7"/>
    </row>
    <row r="937">
      <c r="C937" s="5"/>
      <c r="D937" s="5"/>
      <c r="E937" s="5"/>
      <c r="F937" s="5"/>
      <c r="G937" s="5"/>
      <c r="H937" s="7"/>
    </row>
    <row r="938">
      <c r="C938" s="5"/>
      <c r="D938" s="5"/>
      <c r="E938" s="5"/>
      <c r="F938" s="5"/>
      <c r="G938" s="5"/>
      <c r="H938" s="7"/>
    </row>
    <row r="939">
      <c r="C939" s="5"/>
      <c r="D939" s="5"/>
      <c r="E939" s="5"/>
      <c r="F939" s="5"/>
      <c r="G939" s="5"/>
      <c r="H939" s="7"/>
    </row>
    <row r="940">
      <c r="C940" s="5"/>
      <c r="D940" s="5"/>
      <c r="E940" s="5"/>
      <c r="F940" s="5"/>
      <c r="G940" s="5"/>
      <c r="H940" s="7"/>
    </row>
    <row r="941">
      <c r="C941" s="5"/>
      <c r="D941" s="5"/>
      <c r="E941" s="5"/>
      <c r="F941" s="5"/>
      <c r="G941" s="5"/>
      <c r="H941" s="7"/>
    </row>
    <row r="942">
      <c r="C942" s="5"/>
      <c r="D942" s="5"/>
      <c r="E942" s="5"/>
      <c r="F942" s="5"/>
      <c r="G942" s="5"/>
      <c r="H942" s="7"/>
    </row>
    <row r="943">
      <c r="C943" s="5"/>
      <c r="D943" s="5"/>
      <c r="E943" s="5"/>
      <c r="F943" s="5"/>
      <c r="G943" s="5"/>
      <c r="H943" s="7"/>
    </row>
    <row r="944">
      <c r="C944" s="5"/>
      <c r="D944" s="5"/>
      <c r="E944" s="5"/>
      <c r="F944" s="5"/>
      <c r="G944" s="5"/>
      <c r="H944" s="7"/>
    </row>
    <row r="945">
      <c r="C945" s="5"/>
      <c r="D945" s="5"/>
      <c r="E945" s="5"/>
      <c r="F945" s="5"/>
      <c r="G945" s="5"/>
      <c r="H945" s="7"/>
    </row>
    <row r="946">
      <c r="C946" s="5"/>
      <c r="D946" s="5"/>
      <c r="E946" s="5"/>
      <c r="F946" s="5"/>
      <c r="G946" s="5"/>
      <c r="H946" s="7"/>
    </row>
    <row r="947">
      <c r="C947" s="5"/>
      <c r="D947" s="5"/>
      <c r="E947" s="5"/>
      <c r="F947" s="5"/>
      <c r="G947" s="5"/>
      <c r="H947" s="7"/>
    </row>
    <row r="948">
      <c r="C948" s="5"/>
      <c r="D948" s="5"/>
      <c r="E948" s="5"/>
      <c r="F948" s="5"/>
      <c r="G948" s="5"/>
      <c r="H948" s="7"/>
    </row>
    <row r="949">
      <c r="C949" s="5"/>
      <c r="D949" s="5"/>
      <c r="E949" s="5"/>
      <c r="F949" s="5"/>
      <c r="G949" s="5"/>
      <c r="H949" s="7"/>
    </row>
    <row r="950">
      <c r="C950" s="5"/>
      <c r="D950" s="5"/>
      <c r="E950" s="5"/>
      <c r="F950" s="5"/>
      <c r="G950" s="5"/>
      <c r="H950" s="7"/>
    </row>
    <row r="951">
      <c r="C951" s="5"/>
      <c r="D951" s="5"/>
      <c r="E951" s="5"/>
      <c r="F951" s="5"/>
      <c r="G951" s="5"/>
      <c r="H951" s="7"/>
    </row>
    <row r="952">
      <c r="C952" s="5"/>
      <c r="D952" s="5"/>
      <c r="E952" s="5"/>
      <c r="F952" s="5"/>
      <c r="G952" s="5"/>
      <c r="H952" s="7"/>
    </row>
    <row r="953">
      <c r="C953" s="5"/>
      <c r="D953" s="5"/>
      <c r="E953" s="5"/>
      <c r="F953" s="5"/>
      <c r="G953" s="5"/>
      <c r="H953" s="7"/>
    </row>
    <row r="954">
      <c r="C954" s="5"/>
      <c r="D954" s="5"/>
      <c r="E954" s="5"/>
      <c r="F954" s="5"/>
      <c r="G954" s="5"/>
      <c r="H954" s="7"/>
    </row>
    <row r="955">
      <c r="C955" s="5"/>
      <c r="D955" s="5"/>
      <c r="E955" s="5"/>
      <c r="F955" s="5"/>
      <c r="G955" s="5"/>
      <c r="H955" s="7"/>
    </row>
    <row r="956">
      <c r="C956" s="5"/>
      <c r="D956" s="5"/>
      <c r="E956" s="5"/>
      <c r="F956" s="5"/>
      <c r="G956" s="5"/>
      <c r="H956" s="7"/>
    </row>
    <row r="957">
      <c r="C957" s="5"/>
      <c r="D957" s="5"/>
      <c r="E957" s="5"/>
      <c r="F957" s="5"/>
      <c r="G957" s="5"/>
      <c r="H957" s="7"/>
    </row>
    <row r="958">
      <c r="C958" s="5"/>
      <c r="D958" s="5"/>
      <c r="E958" s="5"/>
      <c r="F958" s="5"/>
      <c r="G958" s="5"/>
      <c r="H958" s="7"/>
    </row>
    <row r="959">
      <c r="C959" s="5"/>
      <c r="D959" s="5"/>
      <c r="E959" s="5"/>
      <c r="F959" s="5"/>
      <c r="G959" s="5"/>
      <c r="H959" s="7"/>
    </row>
    <row r="960">
      <c r="C960" s="5"/>
      <c r="D960" s="5"/>
      <c r="E960" s="5"/>
      <c r="F960" s="5"/>
      <c r="G960" s="5"/>
      <c r="H960" s="7"/>
    </row>
    <row r="961">
      <c r="C961" s="5"/>
      <c r="D961" s="5"/>
      <c r="E961" s="5"/>
      <c r="F961" s="5"/>
      <c r="G961" s="5"/>
      <c r="H961" s="7"/>
    </row>
    <row r="962">
      <c r="C962" s="5"/>
      <c r="D962" s="5"/>
      <c r="E962" s="5"/>
      <c r="F962" s="5"/>
      <c r="G962" s="5"/>
      <c r="H962" s="7"/>
    </row>
    <row r="963">
      <c r="C963" s="5"/>
      <c r="D963" s="5"/>
      <c r="E963" s="5"/>
      <c r="F963" s="5"/>
      <c r="G963" s="5"/>
      <c r="H963" s="7"/>
    </row>
    <row r="964">
      <c r="C964" s="5"/>
      <c r="D964" s="5"/>
      <c r="E964" s="5"/>
      <c r="F964" s="5"/>
      <c r="G964" s="5"/>
      <c r="H964" s="7"/>
    </row>
    <row r="965">
      <c r="C965" s="5"/>
      <c r="D965" s="5"/>
      <c r="E965" s="5"/>
      <c r="F965" s="5"/>
      <c r="G965" s="5"/>
      <c r="H965" s="7"/>
    </row>
    <row r="966">
      <c r="C966" s="5"/>
      <c r="D966" s="5"/>
      <c r="E966" s="5"/>
      <c r="F966" s="5"/>
      <c r="G966" s="5"/>
      <c r="H966" s="7"/>
    </row>
    <row r="967">
      <c r="C967" s="5"/>
      <c r="D967" s="5"/>
      <c r="E967" s="5"/>
      <c r="F967" s="5"/>
      <c r="G967" s="5"/>
      <c r="H967" s="7"/>
    </row>
    <row r="968">
      <c r="C968" s="5"/>
      <c r="D968" s="5"/>
      <c r="E968" s="5"/>
      <c r="F968" s="5"/>
      <c r="G968" s="5"/>
      <c r="H968" s="7"/>
    </row>
    <row r="969">
      <c r="C969" s="5"/>
      <c r="D969" s="5"/>
      <c r="E969" s="5"/>
      <c r="F969" s="5"/>
      <c r="G969" s="5"/>
      <c r="H969" s="7"/>
    </row>
    <row r="970">
      <c r="C970" s="5"/>
      <c r="D970" s="5"/>
      <c r="E970" s="5"/>
      <c r="F970" s="5"/>
      <c r="G970" s="5"/>
      <c r="H970" s="7"/>
    </row>
    <row r="971">
      <c r="C971" s="5"/>
      <c r="D971" s="5"/>
      <c r="E971" s="5"/>
      <c r="F971" s="5"/>
      <c r="G971" s="5"/>
      <c r="H971" s="7"/>
    </row>
    <row r="972">
      <c r="C972" s="5"/>
      <c r="D972" s="5"/>
      <c r="E972" s="5"/>
      <c r="F972" s="5"/>
      <c r="G972" s="5"/>
      <c r="H972" s="7"/>
    </row>
    <row r="973">
      <c r="C973" s="5"/>
      <c r="D973" s="5"/>
      <c r="E973" s="5"/>
      <c r="F973" s="5"/>
      <c r="G973" s="5"/>
      <c r="H973" s="7"/>
    </row>
    <row r="974">
      <c r="C974" s="5"/>
      <c r="D974" s="5"/>
      <c r="E974" s="5"/>
      <c r="F974" s="5"/>
      <c r="G974" s="5"/>
      <c r="H974" s="7"/>
    </row>
    <row r="975">
      <c r="C975" s="5"/>
      <c r="D975" s="5"/>
      <c r="E975" s="5"/>
      <c r="F975" s="5"/>
      <c r="G975" s="5"/>
      <c r="H975" s="7"/>
    </row>
    <row r="976">
      <c r="C976" s="5"/>
      <c r="D976" s="5"/>
      <c r="E976" s="5"/>
      <c r="F976" s="5"/>
      <c r="G976" s="5"/>
      <c r="H976" s="7"/>
    </row>
    <row r="977">
      <c r="C977" s="5"/>
      <c r="D977" s="5"/>
      <c r="E977" s="5"/>
      <c r="F977" s="5"/>
      <c r="G977" s="5"/>
      <c r="H977" s="7"/>
    </row>
    <row r="978">
      <c r="C978" s="5"/>
      <c r="D978" s="5"/>
      <c r="E978" s="5"/>
      <c r="F978" s="5"/>
      <c r="G978" s="5"/>
      <c r="H978" s="7"/>
    </row>
    <row r="979">
      <c r="C979" s="5"/>
      <c r="D979" s="5"/>
      <c r="E979" s="5"/>
      <c r="F979" s="5"/>
      <c r="G979" s="5"/>
      <c r="H979" s="7"/>
    </row>
    <row r="980">
      <c r="C980" s="5"/>
      <c r="D980" s="5"/>
      <c r="E980" s="5"/>
      <c r="F980" s="5"/>
      <c r="G980" s="5"/>
      <c r="H980" s="7"/>
    </row>
    <row r="981">
      <c r="C981" s="5"/>
      <c r="D981" s="5"/>
      <c r="E981" s="5"/>
      <c r="F981" s="5"/>
      <c r="G981" s="5"/>
      <c r="H981" s="7"/>
    </row>
    <row r="982">
      <c r="C982" s="5"/>
      <c r="D982" s="5"/>
      <c r="E982" s="5"/>
      <c r="F982" s="5"/>
      <c r="G982" s="5"/>
      <c r="H982" s="7"/>
    </row>
    <row r="983">
      <c r="C983" s="5"/>
      <c r="D983" s="5"/>
      <c r="E983" s="5"/>
      <c r="F983" s="5"/>
      <c r="G983" s="5"/>
      <c r="H983" s="7"/>
    </row>
    <row r="984">
      <c r="C984" s="5"/>
      <c r="D984" s="5"/>
      <c r="E984" s="5"/>
      <c r="F984" s="5"/>
      <c r="G984" s="5"/>
      <c r="H984" s="7"/>
    </row>
    <row r="985">
      <c r="C985" s="5"/>
      <c r="D985" s="5"/>
      <c r="E985" s="5"/>
      <c r="F985" s="5"/>
      <c r="G985" s="5"/>
      <c r="H985" s="7"/>
    </row>
    <row r="986">
      <c r="C986" s="5"/>
      <c r="D986" s="5"/>
      <c r="E986" s="5"/>
      <c r="F986" s="5"/>
      <c r="G986" s="5"/>
      <c r="H986" s="7"/>
    </row>
    <row r="987">
      <c r="C987" s="5"/>
      <c r="D987" s="5"/>
      <c r="E987" s="5"/>
      <c r="F987" s="5"/>
      <c r="G987" s="5"/>
      <c r="H987" s="7"/>
    </row>
    <row r="988">
      <c r="C988" s="5"/>
      <c r="D988" s="5"/>
      <c r="E988" s="5"/>
      <c r="F988" s="5"/>
      <c r="G988" s="5"/>
      <c r="H988" s="7"/>
    </row>
    <row r="989">
      <c r="C989" s="5"/>
      <c r="D989" s="5"/>
      <c r="E989" s="5"/>
      <c r="F989" s="5"/>
      <c r="G989" s="5"/>
      <c r="H989" s="7"/>
    </row>
    <row r="990">
      <c r="C990" s="5"/>
      <c r="D990" s="5"/>
      <c r="E990" s="5"/>
      <c r="F990" s="5"/>
      <c r="G990" s="5"/>
      <c r="H990" s="7"/>
    </row>
    <row r="991">
      <c r="C991" s="5"/>
      <c r="D991" s="5"/>
      <c r="E991" s="5"/>
      <c r="F991" s="5"/>
      <c r="G991" s="5"/>
      <c r="H991" s="7"/>
    </row>
    <row r="992">
      <c r="C992" s="5"/>
      <c r="D992" s="5"/>
      <c r="E992" s="5"/>
      <c r="F992" s="5"/>
      <c r="G992" s="5"/>
      <c r="H992" s="7"/>
    </row>
    <row r="993">
      <c r="C993" s="5"/>
      <c r="D993" s="5"/>
      <c r="E993" s="5"/>
      <c r="F993" s="5"/>
      <c r="G993" s="5"/>
      <c r="H993" s="7"/>
    </row>
    <row r="994">
      <c r="C994" s="5"/>
      <c r="D994" s="5"/>
      <c r="E994" s="5"/>
      <c r="F994" s="5"/>
      <c r="G994" s="5"/>
      <c r="H994" s="7"/>
    </row>
    <row r="995">
      <c r="C995" s="5"/>
      <c r="D995" s="5"/>
      <c r="E995" s="5"/>
      <c r="F995" s="5"/>
      <c r="G995" s="5"/>
      <c r="H995" s="7"/>
    </row>
    <row r="996">
      <c r="C996" s="5"/>
      <c r="D996" s="5"/>
      <c r="E996" s="5"/>
      <c r="F996" s="5"/>
      <c r="G996" s="5"/>
      <c r="H996" s="7"/>
    </row>
    <row r="997">
      <c r="C997" s="5"/>
      <c r="D997" s="5"/>
      <c r="E997" s="5"/>
      <c r="F997" s="5"/>
      <c r="G997" s="5"/>
      <c r="H997" s="7"/>
    </row>
    <row r="998">
      <c r="C998" s="5"/>
      <c r="D998" s="5"/>
      <c r="E998" s="5"/>
      <c r="F998" s="5"/>
      <c r="G998" s="5"/>
      <c r="H998" s="7"/>
    </row>
    <row r="999">
      <c r="C999" s="5"/>
      <c r="D999" s="5"/>
      <c r="E999" s="5"/>
      <c r="F999" s="5"/>
      <c r="G999" s="5"/>
      <c r="H999" s="7"/>
    </row>
    <row r="1000">
      <c r="C1000" s="5"/>
      <c r="D1000" s="5"/>
      <c r="E1000" s="5"/>
      <c r="F1000" s="5"/>
      <c r="G1000" s="5"/>
      <c r="H1000" s="7"/>
    </row>
  </sheetData>
  <mergeCells count="19">
    <mergeCell ref="A57:B57"/>
    <mergeCell ref="A61:B61"/>
    <mergeCell ref="A68:G68"/>
    <mergeCell ref="A69:B69"/>
    <mergeCell ref="A73:B73"/>
    <mergeCell ref="A78:B78"/>
    <mergeCell ref="A84:B84"/>
    <mergeCell ref="A92:B92"/>
    <mergeCell ref="A119:B119"/>
    <mergeCell ref="A124:B124"/>
    <mergeCell ref="A127:B127"/>
    <mergeCell ref="A3:B3"/>
    <mergeCell ref="A11:B11"/>
    <mergeCell ref="A22:B22"/>
    <mergeCell ref="A32:B32"/>
    <mergeCell ref="A2:G2"/>
    <mergeCell ref="A46:G46"/>
    <mergeCell ref="A112:B112"/>
    <mergeCell ref="A77:G7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24.43"/>
    <col customWidth="1" min="2" max="2" width="116.86"/>
    <col customWidth="1" min="6" max="6" width="11.0"/>
    <col customWidth="1" min="7" max="8" width="10.14"/>
  </cols>
  <sheetData>
    <row r="1">
      <c r="A1" s="1" t="str">
        <f>IFERROR(__xludf.DUMMYFUNCTION("IMPORTRANGE(""1HkzfTg_x2lNlvG_oAmvAnugODRXnepM3bnsrF1TbIKU"", ""Папки и изделия из ПВХ!A1:h93"")"),"    Папки с полноцветной печатью (Полипропилен)")</f>
        <v>    Папки с полноцветной печатью (Полипропилен)</v>
      </c>
      <c r="B1" s="1" t="str">
        <f>IFERROR(__xludf.DUMMYFUNCTION("""COMPUTED_VALUE"""),"")</f>
        <v/>
      </c>
      <c r="C1" s="1" t="str">
        <f>IFERROR(__xludf.DUMMYFUNCTION("""COMPUTED_VALUE"""),"")</f>
        <v/>
      </c>
      <c r="D1" s="1" t="str">
        <f>IFERROR(__xludf.DUMMYFUNCTION("""COMPUTED_VALUE"""),"")</f>
        <v/>
      </c>
      <c r="E1" s="1" t="str">
        <f>IFERROR(__xludf.DUMMYFUNCTION("""COMPUTED_VALUE"""),"")</f>
        <v/>
      </c>
      <c r="F1" s="1" t="str">
        <f>IFERROR(__xludf.DUMMYFUNCTION("""COMPUTED_VALUE"""),"")</f>
        <v/>
      </c>
      <c r="G1" s="1" t="str">
        <f>IFERROR(__xludf.DUMMYFUNCTION("""COMPUTED_VALUE"""),"")</f>
        <v/>
      </c>
      <c r="H1" s="1" t="str">
        <f>IFERROR(__xludf.DUMMYFUNCTION("""COMPUTED_VALUE"""),"")</f>
        <v/>
      </c>
    </row>
    <row r="2">
      <c r="A2" s="3" t="str">
        <f>IFERROR(__xludf.DUMMYFUNCTION("""COMPUTED_VALUE"""),"Обратите Внимание!!!")</f>
        <v>Обратите Внимание!!!</v>
      </c>
      <c r="B2" s="3" t="str">
        <f>IFERROR(__xludf.DUMMYFUNCTION("""COMPUTED_VALUE"""),"Стоимость печати с внутренней стороны ")</f>
        <v>Стоимость печати с внутренней стороны </v>
      </c>
      <c r="C2" s="3" t="str">
        <f>IFERROR(__xludf.DUMMYFUNCTION("""COMPUTED_VALUE"""),"")</f>
        <v/>
      </c>
      <c r="D2" s="3" t="str">
        <f>IFERROR(__xludf.DUMMYFUNCTION("""COMPUTED_VALUE"""),"")</f>
        <v/>
      </c>
      <c r="E2" s="3" t="str">
        <f>IFERROR(__xludf.DUMMYFUNCTION("""COMPUTED_VALUE"""),"")</f>
        <v/>
      </c>
      <c r="F2" s="3" t="str">
        <f>IFERROR(__xludf.DUMMYFUNCTION("""COMPUTED_VALUE"""),"")</f>
        <v/>
      </c>
      <c r="G2" s="3" t="str">
        <f>IFERROR(__xludf.DUMMYFUNCTION("""COMPUTED_VALUE"""),"15,00руб")</f>
        <v>15,00руб</v>
      </c>
      <c r="H2" s="3" t="str">
        <f>IFERROR(__xludf.DUMMYFUNCTION("""COMPUTED_VALUE"""),"15,00руб")</f>
        <v>15,00руб</v>
      </c>
    </row>
    <row r="3">
      <c r="A3" s="6" t="str">
        <f>IFERROR(__xludf.DUMMYFUNCTION("""COMPUTED_VALUE"""),"Папка-уголок")</f>
        <v>Папка-уголок</v>
      </c>
      <c r="B3" s="6" t="str">
        <f>IFERROR(__xludf.DUMMYFUNCTION("""COMPUTED_VALUE"""),"")</f>
        <v/>
      </c>
      <c r="C3" s="6" t="str">
        <f>IFERROR(__xludf.DUMMYFUNCTION("""COMPUTED_VALUE"""),"50 шт")</f>
        <v>50 шт</v>
      </c>
      <c r="D3" s="6" t="str">
        <f>IFERROR(__xludf.DUMMYFUNCTION("""COMPUTED_VALUE"""),"100 шт")</f>
        <v>100 шт</v>
      </c>
      <c r="E3" s="6" t="str">
        <f>IFERROR(__xludf.DUMMYFUNCTION("""COMPUTED_VALUE"""),"200 шт")</f>
        <v>200 шт</v>
      </c>
      <c r="F3" s="6" t="str">
        <f>IFERROR(__xludf.DUMMYFUNCTION("""COMPUTED_VALUE"""),"300 шт")</f>
        <v>300 шт</v>
      </c>
      <c r="G3" s="6" t="str">
        <f>IFERROR(__xludf.DUMMYFUNCTION("""COMPUTED_VALUE"""),"500 шт")</f>
        <v>500 шт</v>
      </c>
      <c r="H3" s="6" t="str">
        <f>IFERROR(__xludf.DUMMYFUNCTION("""COMPUTED_VALUE"""),"1000 шт")</f>
        <v>1000 шт</v>
      </c>
    </row>
    <row r="4">
      <c r="A4" s="8" t="str">
        <f>IFERROR(__xludf.DUMMYFUNCTION("""COMPUTED_VALUE"""),"ПУ-01")</f>
        <v>ПУ-01</v>
      </c>
      <c r="B4" s="8" t="str">
        <f>IFERROR(__xludf.DUMMYFUNCTION("""COMPUTED_VALUE"""),"Папка-уголок (формат А4) с полноцветной печатью, толщина 200 мкм")</f>
        <v>Папка-уголок (формат А4) с полноцветной печатью, толщина 200 мкм</v>
      </c>
      <c r="C4" s="10" t="str">
        <f>IFERROR(__xludf.DUMMYFUNCTION("""COMPUTED_VALUE"""),"-")</f>
        <v>-</v>
      </c>
      <c r="D4" s="10" t="str">
        <f>IFERROR(__xludf.DUMMYFUNCTION("""COMPUTED_VALUE"""),"-")</f>
        <v>-</v>
      </c>
      <c r="E4" s="10" t="str">
        <f>IFERROR(__xludf.DUMMYFUNCTION("""COMPUTED_VALUE"""),"-")</f>
        <v>-</v>
      </c>
      <c r="F4" s="10" t="str">
        <f>IFERROR(__xludf.DUMMYFUNCTION("""COMPUTED_VALUE"""),"-")</f>
        <v>-</v>
      </c>
      <c r="G4" s="10" t="str">
        <f>IFERROR(__xludf.DUMMYFUNCTION("""COMPUTED_VALUE"""),"45 руб")</f>
        <v>45 руб</v>
      </c>
      <c r="H4" s="10" t="str">
        <f>IFERROR(__xludf.DUMMYFUNCTION("""COMPUTED_VALUE"""),"40 руб")</f>
        <v>40 руб</v>
      </c>
    </row>
    <row r="5">
      <c r="A5" s="8" t="str">
        <f>IFERROR(__xludf.DUMMYFUNCTION("""COMPUTED_VALUE"""),"ПУ-02")</f>
        <v>ПУ-02</v>
      </c>
      <c r="B5" s="8" t="str">
        <f>IFERROR(__xludf.DUMMYFUNCTION("""COMPUTED_VALUE"""),"Папка-уголок (формат А4) с полноцветной печатью, толщина 350 мкм")</f>
        <v>Папка-уголок (формат А4) с полноцветной печатью, толщина 350 мкм</v>
      </c>
      <c r="C5" s="10" t="str">
        <f>IFERROR(__xludf.DUMMYFUNCTION("""COMPUTED_VALUE"""),"-")</f>
        <v>-</v>
      </c>
      <c r="D5" s="10" t="str">
        <f>IFERROR(__xludf.DUMMYFUNCTION("""COMPUTED_VALUE"""),"-")</f>
        <v>-</v>
      </c>
      <c r="E5" s="10" t="str">
        <f>IFERROR(__xludf.DUMMYFUNCTION("""COMPUTED_VALUE"""),"-")</f>
        <v>-</v>
      </c>
      <c r="F5" s="10" t="str">
        <f>IFERROR(__xludf.DUMMYFUNCTION("""COMPUTED_VALUE"""),"-")</f>
        <v>-</v>
      </c>
      <c r="G5" s="10" t="str">
        <f>IFERROR(__xludf.DUMMYFUNCTION("""COMPUTED_VALUE"""),"55 руб")</f>
        <v>55 руб</v>
      </c>
      <c r="H5" s="10" t="str">
        <f>IFERROR(__xludf.DUMMYFUNCTION("""COMPUTED_VALUE"""),"50 руб")</f>
        <v>50 руб</v>
      </c>
    </row>
    <row r="6">
      <c r="A6" s="13" t="str">
        <f>IFERROR(__xludf.DUMMYFUNCTION("""COMPUTED_VALUE"""),"Папка с клипом")</f>
        <v>Папка с клипом</v>
      </c>
      <c r="B6" s="13" t="str">
        <f>IFERROR(__xludf.DUMMYFUNCTION("""COMPUTED_VALUE"""),"")</f>
        <v/>
      </c>
      <c r="C6" s="13" t="str">
        <f>IFERROR(__xludf.DUMMYFUNCTION("""COMPUTED_VALUE"""),"50 шт")</f>
        <v>50 шт</v>
      </c>
      <c r="D6" s="13" t="str">
        <f>IFERROR(__xludf.DUMMYFUNCTION("""COMPUTED_VALUE"""),"100 шт")</f>
        <v>100 шт</v>
      </c>
      <c r="E6" s="13" t="str">
        <f>IFERROR(__xludf.DUMMYFUNCTION("""COMPUTED_VALUE"""),"200 шт")</f>
        <v>200 шт</v>
      </c>
      <c r="F6" s="13" t="str">
        <f>IFERROR(__xludf.DUMMYFUNCTION("""COMPUTED_VALUE"""),"300 шт")</f>
        <v>300 шт</v>
      </c>
      <c r="G6" s="13" t="str">
        <f>IFERROR(__xludf.DUMMYFUNCTION("""COMPUTED_VALUE"""),"500 шт")</f>
        <v>500 шт</v>
      </c>
      <c r="H6" s="13" t="str">
        <f>IFERROR(__xludf.DUMMYFUNCTION("""COMPUTED_VALUE"""),"1000 шт")</f>
        <v>1000 шт</v>
      </c>
    </row>
    <row r="7">
      <c r="A7" s="8" t="str">
        <f>IFERROR(__xludf.DUMMYFUNCTION("""COMPUTED_VALUE"""),"ПК-01")</f>
        <v>ПК-01</v>
      </c>
      <c r="B7" s="8" t="str">
        <f>IFERROR(__xludf.DUMMYFUNCTION("""COMPUTED_VALUE"""),"Папка с клипом (формат А4) с полноцветной печатью, толщина 350 мкм")</f>
        <v>Папка с клипом (формат А4) с полноцветной печатью, толщина 350 мкм</v>
      </c>
      <c r="C7" s="10" t="str">
        <f>IFERROR(__xludf.DUMMYFUNCTION("""COMPUTED_VALUE"""),"-")</f>
        <v>-</v>
      </c>
      <c r="D7" s="10" t="str">
        <f>IFERROR(__xludf.DUMMYFUNCTION("""COMPUTED_VALUE"""),"-")</f>
        <v>-</v>
      </c>
      <c r="E7" s="10" t="str">
        <f>IFERROR(__xludf.DUMMYFUNCTION("""COMPUTED_VALUE"""),"-")</f>
        <v>-</v>
      </c>
      <c r="F7" s="10" t="str">
        <f>IFERROR(__xludf.DUMMYFUNCTION("""COMPUTED_VALUE"""),"-")</f>
        <v>-</v>
      </c>
      <c r="G7" s="10" t="str">
        <f>IFERROR(__xludf.DUMMYFUNCTION("""COMPUTED_VALUE"""),"80 руб")</f>
        <v>80 руб</v>
      </c>
      <c r="H7" s="10" t="str">
        <f>IFERROR(__xludf.DUMMYFUNCTION("""COMPUTED_VALUE"""),"70 руб")</f>
        <v>70 руб</v>
      </c>
    </row>
    <row r="8">
      <c r="A8" s="13" t="str">
        <f>IFERROR(__xludf.DUMMYFUNCTION("""COMPUTED_VALUE"""),"Папка-конверт на кнопке")</f>
        <v>Папка-конверт на кнопке</v>
      </c>
      <c r="B8" s="13" t="str">
        <f>IFERROR(__xludf.DUMMYFUNCTION("""COMPUTED_VALUE"""),"")</f>
        <v/>
      </c>
      <c r="C8" s="13" t="str">
        <f>IFERROR(__xludf.DUMMYFUNCTION("""COMPUTED_VALUE"""),"50 шт")</f>
        <v>50 шт</v>
      </c>
      <c r="D8" s="13" t="str">
        <f>IFERROR(__xludf.DUMMYFUNCTION("""COMPUTED_VALUE"""),"100 шт")</f>
        <v>100 шт</v>
      </c>
      <c r="E8" s="13" t="str">
        <f>IFERROR(__xludf.DUMMYFUNCTION("""COMPUTED_VALUE"""),"200 шт")</f>
        <v>200 шт</v>
      </c>
      <c r="F8" s="13" t="str">
        <f>IFERROR(__xludf.DUMMYFUNCTION("""COMPUTED_VALUE"""),"300 шт")</f>
        <v>300 шт</v>
      </c>
      <c r="G8" s="13" t="str">
        <f>IFERROR(__xludf.DUMMYFUNCTION("""COMPUTED_VALUE"""),"500 шт")</f>
        <v>500 шт</v>
      </c>
      <c r="H8" s="13" t="str">
        <f>IFERROR(__xludf.DUMMYFUNCTION("""COMPUTED_VALUE"""),"1000 шт")</f>
        <v>1000 шт</v>
      </c>
    </row>
    <row r="9">
      <c r="A9" s="8" t="str">
        <f>IFERROR(__xludf.DUMMYFUNCTION("""COMPUTED_VALUE"""),"ПК-02")</f>
        <v>ПК-02</v>
      </c>
      <c r="B9" s="8" t="str">
        <f>IFERROR(__xludf.DUMMYFUNCTION("""COMPUTED_VALUE"""),"Папка-конверт на кнопке (215х325 , формат А4) с полноцветной печатью, 200 мкм")</f>
        <v>Папка-конверт на кнопке (215х325 , формат А4) с полноцветной печатью, 200 мкм</v>
      </c>
      <c r="C9" s="10" t="str">
        <f>IFERROR(__xludf.DUMMYFUNCTION("""COMPUTED_VALUE"""),"-")</f>
        <v>-</v>
      </c>
      <c r="D9" s="10" t="str">
        <f>IFERROR(__xludf.DUMMYFUNCTION("""COMPUTED_VALUE"""),"-")</f>
        <v>-</v>
      </c>
      <c r="E9" s="10" t="str">
        <f>IFERROR(__xludf.DUMMYFUNCTION("""COMPUTED_VALUE"""),"-")</f>
        <v>-</v>
      </c>
      <c r="F9" s="10" t="str">
        <f>IFERROR(__xludf.DUMMYFUNCTION("""COMPUTED_VALUE"""),"-")</f>
        <v>-</v>
      </c>
      <c r="G9" s="18" t="str">
        <f>IFERROR(__xludf.DUMMYFUNCTION("""COMPUTED_VALUE"""),"60 руб")</f>
        <v>60 руб</v>
      </c>
      <c r="H9" s="10" t="str">
        <f>IFERROR(__xludf.DUMMYFUNCTION("""COMPUTED_VALUE"""),"55 руб")</f>
        <v>55 руб</v>
      </c>
    </row>
    <row r="10">
      <c r="A10" s="8" t="str">
        <f>IFERROR(__xludf.DUMMYFUNCTION("""COMPUTED_VALUE"""),"ПК-03")</f>
        <v>ПК-03</v>
      </c>
      <c r="B10" s="8" t="str">
        <f>IFERROR(__xludf.DUMMYFUNCTION("""COMPUTED_VALUE"""),"Папка-конверт на кнопке (262х180 мм, формат А5) с полноцветной печатью, 200 мкм")</f>
        <v>Папка-конверт на кнопке (262х180 мм, формат А5) с полноцветной печатью, 200 мкм</v>
      </c>
      <c r="C10" s="10" t="str">
        <f>IFERROR(__xludf.DUMMYFUNCTION("""COMPUTED_VALUE"""),"-")</f>
        <v>-</v>
      </c>
      <c r="D10" s="10" t="str">
        <f>IFERROR(__xludf.DUMMYFUNCTION("""COMPUTED_VALUE"""),"-")</f>
        <v>-</v>
      </c>
      <c r="E10" s="10" t="str">
        <f>IFERROR(__xludf.DUMMYFUNCTION("""COMPUTED_VALUE"""),"-")</f>
        <v>-</v>
      </c>
      <c r="F10" s="10" t="str">
        <f>IFERROR(__xludf.DUMMYFUNCTION("""COMPUTED_VALUE"""),"-")</f>
        <v>-</v>
      </c>
      <c r="G10" s="10" t="str">
        <f>IFERROR(__xludf.DUMMYFUNCTION("""COMPUTED_VALUE"""),"50 руб")</f>
        <v>50 руб</v>
      </c>
      <c r="H10" s="10" t="str">
        <f>IFERROR(__xludf.DUMMYFUNCTION("""COMPUTED_VALUE"""),"45 руб")</f>
        <v>45 руб</v>
      </c>
    </row>
    <row r="11">
      <c r="A11" s="8" t="str">
        <f>IFERROR(__xludf.DUMMYFUNCTION("""COMPUTED_VALUE"""),"ПК-04")</f>
        <v>ПК-04</v>
      </c>
      <c r="B11" s="8" t="str">
        <f>IFERROR(__xludf.DUMMYFUNCTION("""COMPUTED_VALUE"""),"Папка-конверт на кнопке (333х233 мм, формат А4) с полноцветной печатью, 350 мкм")</f>
        <v>Папка-конверт на кнопке (333х233 мм, формат А4) с полноцветной печатью, 350 мкм</v>
      </c>
      <c r="C11" s="10" t="str">
        <f>IFERROR(__xludf.DUMMYFUNCTION("""COMPUTED_VALUE"""),"-")</f>
        <v>-</v>
      </c>
      <c r="D11" s="10" t="str">
        <f>IFERROR(__xludf.DUMMYFUNCTION("""COMPUTED_VALUE"""),"-")</f>
        <v>-</v>
      </c>
      <c r="E11" s="10" t="str">
        <f>IFERROR(__xludf.DUMMYFUNCTION("""COMPUTED_VALUE"""),"-")</f>
        <v>-</v>
      </c>
      <c r="F11" s="10" t="str">
        <f>IFERROR(__xludf.DUMMYFUNCTION("""COMPUTED_VALUE"""),"-")</f>
        <v>-</v>
      </c>
      <c r="G11" s="10" t="str">
        <f>IFERROR(__xludf.DUMMYFUNCTION("""COMPUTED_VALUE"""),"90 руб")</f>
        <v>90 руб</v>
      </c>
      <c r="H11" s="10" t="str">
        <f>IFERROR(__xludf.DUMMYFUNCTION("""COMPUTED_VALUE"""),"80 руб")</f>
        <v>80 руб</v>
      </c>
    </row>
    <row r="12">
      <c r="A12" s="8" t="str">
        <f>IFERROR(__xludf.DUMMYFUNCTION("""COMPUTED_VALUE"""),"ПК-05")</f>
        <v>ПК-05</v>
      </c>
      <c r="B12" s="8" t="str">
        <f>IFERROR(__xludf.DUMMYFUNCTION("""COMPUTED_VALUE"""),"Папка-конверт на кнопке (262х180 мм, формат А5) с полноцветной печатью, 350 мкм")</f>
        <v>Папка-конверт на кнопке (262х180 мм, формат А5) с полноцветной печатью, 350 мкм</v>
      </c>
      <c r="C12" s="10" t="str">
        <f>IFERROR(__xludf.DUMMYFUNCTION("""COMPUTED_VALUE"""),"-")</f>
        <v>-</v>
      </c>
      <c r="D12" s="10" t="str">
        <f>IFERROR(__xludf.DUMMYFUNCTION("""COMPUTED_VALUE"""),"-")</f>
        <v>-</v>
      </c>
      <c r="E12" s="10" t="str">
        <f>IFERROR(__xludf.DUMMYFUNCTION("""COMPUTED_VALUE"""),"-")</f>
        <v>-</v>
      </c>
      <c r="F12" s="10" t="str">
        <f>IFERROR(__xludf.DUMMYFUNCTION("""COMPUTED_VALUE"""),"-")</f>
        <v>-</v>
      </c>
      <c r="G12" s="10" t="str">
        <f>IFERROR(__xludf.DUMMYFUNCTION("""COMPUTED_VALUE"""),"60 руб")</f>
        <v>60 руб</v>
      </c>
      <c r="H12" s="10" t="str">
        <f>IFERROR(__xludf.DUMMYFUNCTION("""COMPUTED_VALUE"""),"55 руб")</f>
        <v>55 руб</v>
      </c>
    </row>
    <row r="13">
      <c r="A13" s="8" t="str">
        <f>IFERROR(__xludf.DUMMYFUNCTION("""COMPUTED_VALUE"""),"ПК-06")</f>
        <v>ПК-06</v>
      </c>
      <c r="B13" s="8" t="str">
        <f>IFERROR(__xludf.DUMMYFUNCTION("""COMPUTED_VALUE"""),"Папка-конверт на кнопке с подъемом 5 мм (формат А4; 320х240), полноцветная печать, 350 мкм")</f>
        <v>Папка-конверт на кнопке с подъемом 5 мм (формат А4; 320х240), полноцветная печать, 350 мкм</v>
      </c>
      <c r="C13" s="10" t="str">
        <f>IFERROR(__xludf.DUMMYFUNCTION("""COMPUTED_VALUE"""),"-")</f>
        <v>-</v>
      </c>
      <c r="D13" s="10" t="str">
        <f>IFERROR(__xludf.DUMMYFUNCTION("""COMPUTED_VALUE"""),"-")</f>
        <v>-</v>
      </c>
      <c r="E13" s="10" t="str">
        <f>IFERROR(__xludf.DUMMYFUNCTION("""COMPUTED_VALUE"""),"-")</f>
        <v>-</v>
      </c>
      <c r="F13" s="10" t="str">
        <f>IFERROR(__xludf.DUMMYFUNCTION("""COMPUTED_VALUE"""),"-")</f>
        <v>-</v>
      </c>
      <c r="G13" s="10" t="str">
        <f>IFERROR(__xludf.DUMMYFUNCTION("""COMPUTED_VALUE"""),"95 руб")</f>
        <v>95 руб</v>
      </c>
      <c r="H13" s="10" t="str">
        <f>IFERROR(__xludf.DUMMYFUNCTION("""COMPUTED_VALUE"""),"85 руб")</f>
        <v>85 руб</v>
      </c>
    </row>
    <row r="14">
      <c r="A14" s="8" t="str">
        <f>IFERROR(__xludf.DUMMYFUNCTION("""COMPUTED_VALUE"""),"ПК-07")</f>
        <v>ПК-07</v>
      </c>
      <c r="B14" s="8" t="str">
        <f>IFERROR(__xludf.DUMMYFUNCTION("""COMPUTED_VALUE"""),"Папка-конверт на кнопке с подъемом 5 мм (формат А5; 240х160), полноцветная печать, 350 мкм")</f>
        <v>Папка-конверт на кнопке с подъемом 5 мм (формат А5; 240х160), полноцветная печать, 350 мкм</v>
      </c>
      <c r="C14" s="10" t="str">
        <f>IFERROR(__xludf.DUMMYFUNCTION("""COMPUTED_VALUE"""),"-")</f>
        <v>-</v>
      </c>
      <c r="D14" s="10" t="str">
        <f>IFERROR(__xludf.DUMMYFUNCTION("""COMPUTED_VALUE"""),"-")</f>
        <v>-</v>
      </c>
      <c r="E14" s="10" t="str">
        <f>IFERROR(__xludf.DUMMYFUNCTION("""COMPUTED_VALUE"""),"-")</f>
        <v>-</v>
      </c>
      <c r="F14" s="10" t="str">
        <f>IFERROR(__xludf.DUMMYFUNCTION("""COMPUTED_VALUE"""),"-")</f>
        <v>-</v>
      </c>
      <c r="G14" s="10" t="str">
        <f>IFERROR(__xludf.DUMMYFUNCTION("""COMPUTED_VALUE"""),"65 руб")</f>
        <v>65 руб</v>
      </c>
      <c r="H14" s="10" t="str">
        <f>IFERROR(__xludf.DUMMYFUNCTION("""COMPUTED_VALUE"""),"60 руб")</f>
        <v>60 руб</v>
      </c>
    </row>
    <row r="15">
      <c r="A15" s="13" t="str">
        <f>IFERROR(__xludf.DUMMYFUNCTION("""COMPUTED_VALUE"""),"Папка с карманом")</f>
        <v>Папка с карманом</v>
      </c>
      <c r="B15" s="13" t="str">
        <f>IFERROR(__xludf.DUMMYFUNCTION("""COMPUTED_VALUE"""),"")</f>
        <v/>
      </c>
      <c r="C15" s="13" t="str">
        <f>IFERROR(__xludf.DUMMYFUNCTION("""COMPUTED_VALUE"""),"50 шт")</f>
        <v>50 шт</v>
      </c>
      <c r="D15" s="13" t="str">
        <f>IFERROR(__xludf.DUMMYFUNCTION("""COMPUTED_VALUE"""),"100 шт")</f>
        <v>100 шт</v>
      </c>
      <c r="E15" s="13" t="str">
        <f>IFERROR(__xludf.DUMMYFUNCTION("""COMPUTED_VALUE"""),"200 шт")</f>
        <v>200 шт</v>
      </c>
      <c r="F15" s="13" t="str">
        <f>IFERROR(__xludf.DUMMYFUNCTION("""COMPUTED_VALUE"""),"300 шт")</f>
        <v>300 шт</v>
      </c>
      <c r="G15" s="13" t="str">
        <f>IFERROR(__xludf.DUMMYFUNCTION("""COMPUTED_VALUE"""),"500 шт")</f>
        <v>500 шт</v>
      </c>
      <c r="H15" s="13" t="str">
        <f>IFERROR(__xludf.DUMMYFUNCTION("""COMPUTED_VALUE"""),"1000 шт")</f>
        <v>1000 шт</v>
      </c>
    </row>
    <row r="16">
      <c r="A16" s="8" t="str">
        <f>IFERROR(__xludf.DUMMYFUNCTION("""COMPUTED_VALUE"""),"ПКК-01")</f>
        <v>ПКК-01</v>
      </c>
      <c r="B16" s="8" t="str">
        <f>IFERROR(__xludf.DUMMYFUNCTION("""COMPUTED_VALUE"""),"Папка с карманом (формат А4) с полноцветной печатью, толщина 350 мкм")</f>
        <v>Папка с карманом (формат А4) с полноцветной печатью, толщина 350 мкм</v>
      </c>
      <c r="C16" s="10" t="str">
        <f>IFERROR(__xludf.DUMMYFUNCTION("""COMPUTED_VALUE"""),"-")</f>
        <v>-</v>
      </c>
      <c r="D16" s="10" t="str">
        <f>IFERROR(__xludf.DUMMYFUNCTION("""COMPUTED_VALUE"""),"-")</f>
        <v>-</v>
      </c>
      <c r="E16" s="10" t="str">
        <f>IFERROR(__xludf.DUMMYFUNCTION("""COMPUTED_VALUE"""),"-")</f>
        <v>-</v>
      </c>
      <c r="F16" s="10" t="str">
        <f>IFERROR(__xludf.DUMMYFUNCTION("""COMPUTED_VALUE"""),"-")</f>
        <v>-</v>
      </c>
      <c r="G16" s="10" t="str">
        <f>IFERROR(__xludf.DUMMYFUNCTION("""COMPUTED_VALUE"""),"62 руб")</f>
        <v>62 руб</v>
      </c>
      <c r="H16" s="10" t="str">
        <f>IFERROR(__xludf.DUMMYFUNCTION("""COMPUTED_VALUE"""),"57 руб")</f>
        <v>57 руб</v>
      </c>
    </row>
    <row r="17">
      <c r="A17" s="8" t="str">
        <f>IFERROR(__xludf.DUMMYFUNCTION("""COMPUTED_VALUE"""),"ПКК-02")</f>
        <v>ПКК-02</v>
      </c>
      <c r="B17" s="8" t="str">
        <f>IFERROR(__xludf.DUMMYFUNCTION("""COMPUTED_VALUE"""),"Папка с двумя карманами (формат А4) с полноцветной печатью, толщина 350 мкм")</f>
        <v>Папка с двумя карманами (формат А4) с полноцветной печатью, толщина 350 мкм</v>
      </c>
      <c r="C17" s="10" t="str">
        <f>IFERROR(__xludf.DUMMYFUNCTION("""COMPUTED_VALUE"""),"-")</f>
        <v>-</v>
      </c>
      <c r="D17" s="10" t="str">
        <f>IFERROR(__xludf.DUMMYFUNCTION("""COMPUTED_VALUE"""),"-")</f>
        <v>-</v>
      </c>
      <c r="E17" s="10" t="str">
        <f>IFERROR(__xludf.DUMMYFUNCTION("""COMPUTED_VALUE"""),"-")</f>
        <v>-</v>
      </c>
      <c r="F17" s="10" t="str">
        <f>IFERROR(__xludf.DUMMYFUNCTION("""COMPUTED_VALUE"""),"-")</f>
        <v>-</v>
      </c>
      <c r="G17" s="10" t="str">
        <f>IFERROR(__xludf.DUMMYFUNCTION("""COMPUTED_VALUE"""),"67 руб")</f>
        <v>67 руб</v>
      </c>
      <c r="H17" s="10" t="str">
        <f>IFERROR(__xludf.DUMMYFUNCTION("""COMPUTED_VALUE"""),"62 руб")</f>
        <v>62 руб</v>
      </c>
    </row>
    <row r="18">
      <c r="A18" s="13" t="str">
        <f>IFERROR(__xludf.DUMMYFUNCTION("""COMPUTED_VALUE"""),"Папка-конверт на Zip-lock")</f>
        <v>Папка-конверт на Zip-lock</v>
      </c>
      <c r="B18" s="13" t="str">
        <f>IFERROR(__xludf.DUMMYFUNCTION("""COMPUTED_VALUE"""),"")</f>
        <v/>
      </c>
      <c r="C18" s="13" t="str">
        <f>IFERROR(__xludf.DUMMYFUNCTION("""COMPUTED_VALUE"""),"50 шт")</f>
        <v>50 шт</v>
      </c>
      <c r="D18" s="13" t="str">
        <f>IFERROR(__xludf.DUMMYFUNCTION("""COMPUTED_VALUE"""),"100 шт")</f>
        <v>100 шт</v>
      </c>
      <c r="E18" s="13" t="str">
        <f>IFERROR(__xludf.DUMMYFUNCTION("""COMPUTED_VALUE"""),"200 шт")</f>
        <v>200 шт</v>
      </c>
      <c r="F18" s="13" t="str">
        <f>IFERROR(__xludf.DUMMYFUNCTION("""COMPUTED_VALUE"""),"300 шт")</f>
        <v>300 шт</v>
      </c>
      <c r="G18" s="13" t="str">
        <f>IFERROR(__xludf.DUMMYFUNCTION("""COMPUTED_VALUE"""),"500 шт")</f>
        <v>500 шт</v>
      </c>
      <c r="H18" s="13" t="str">
        <f>IFERROR(__xludf.DUMMYFUNCTION("""COMPUTED_VALUE"""),"1000 шт")</f>
        <v>1000 шт</v>
      </c>
    </row>
    <row r="19">
      <c r="A19" s="8" t="str">
        <f>IFERROR(__xludf.DUMMYFUNCTION("""COMPUTED_VALUE"""),"ПКМ-01")</f>
        <v>ПКМ-01</v>
      </c>
      <c r="B19" s="8" t="str">
        <f>IFERROR(__xludf.DUMMYFUNCTION("""COMPUTED_VALUE"""),"Папка-конверт на Zip-lock (формат А4) с полноцветной печатью, 200 мкм")</f>
        <v>Папка-конверт на Zip-lock (формат А4) с полноцветной печатью, 200 мкм</v>
      </c>
      <c r="C19" s="10" t="str">
        <f>IFERROR(__xludf.DUMMYFUNCTION("""COMPUTED_VALUE"""),"-")</f>
        <v>-</v>
      </c>
      <c r="D19" s="10" t="str">
        <f>IFERROR(__xludf.DUMMYFUNCTION("""COMPUTED_VALUE"""),"-")</f>
        <v>-</v>
      </c>
      <c r="E19" s="10" t="str">
        <f>IFERROR(__xludf.DUMMYFUNCTION("""COMPUTED_VALUE"""),"-")</f>
        <v>-</v>
      </c>
      <c r="F19" s="10" t="str">
        <f>IFERROR(__xludf.DUMMYFUNCTION("""COMPUTED_VALUE"""),"-")</f>
        <v>-</v>
      </c>
      <c r="G19" s="10" t="str">
        <f>IFERROR(__xludf.DUMMYFUNCTION("""COMPUTED_VALUE"""),"67 руб")</f>
        <v>67 руб</v>
      </c>
      <c r="H19" s="10" t="str">
        <f>IFERROR(__xludf.DUMMYFUNCTION("""COMPUTED_VALUE"""),"57 руб")</f>
        <v>57 руб</v>
      </c>
    </row>
    <row r="20">
      <c r="A20" s="8" t="str">
        <f>IFERROR(__xludf.DUMMYFUNCTION("""COMPUTED_VALUE"""),"ПКМ - 02")</f>
        <v>ПКМ - 02</v>
      </c>
      <c r="B20" s="8" t="str">
        <f>IFERROR(__xludf.DUMMYFUNCTION("""COMPUTED_VALUE"""),"Папка-конверт на Zip-lock (240х130 мм), с полноцветной печатью, 200 мкм")</f>
        <v>Папка-конверт на Zip-lock (240х130 мм), с полноцветной печатью, 200 мкм</v>
      </c>
      <c r="C20" s="10" t="str">
        <f>IFERROR(__xludf.DUMMYFUNCTION("""COMPUTED_VALUE"""),"-")</f>
        <v>-</v>
      </c>
      <c r="D20" s="10" t="str">
        <f>IFERROR(__xludf.DUMMYFUNCTION("""COMPUTED_VALUE"""),"-")</f>
        <v>-</v>
      </c>
      <c r="E20" s="10" t="str">
        <f>IFERROR(__xludf.DUMMYFUNCTION("""COMPUTED_VALUE"""),"-")</f>
        <v>-</v>
      </c>
      <c r="F20" s="10" t="str">
        <f>IFERROR(__xludf.DUMMYFUNCTION("""COMPUTED_VALUE"""),"-")</f>
        <v>-</v>
      </c>
      <c r="G20" s="10" t="str">
        <f>IFERROR(__xludf.DUMMYFUNCTION("""COMPUTED_VALUE"""),"55 руб")</f>
        <v>55 руб</v>
      </c>
      <c r="H20" s="10" t="str">
        <f>IFERROR(__xludf.DUMMYFUNCTION("""COMPUTED_VALUE"""),"48 руб")</f>
        <v>48 руб</v>
      </c>
    </row>
    <row r="21">
      <c r="A21" s="8" t="str">
        <f>IFERROR(__xludf.DUMMYFUNCTION("""COMPUTED_VALUE"""),"ПКМ - 03")</f>
        <v>ПКМ - 03</v>
      </c>
      <c r="B21" s="8" t="str">
        <f>IFERROR(__xludf.DUMMYFUNCTION("""COMPUTED_VALUE"""),"Папка-конверт на Zip-lock (245х160 мм, формат А5) с полноцветной печатью, 200 мкм")</f>
        <v>Папка-конверт на Zip-lock (245х160 мм, формат А5) с полноцветной печатью, 200 мкм</v>
      </c>
      <c r="C21" s="10" t="str">
        <f>IFERROR(__xludf.DUMMYFUNCTION("""COMPUTED_VALUE"""),"-")</f>
        <v>-</v>
      </c>
      <c r="D21" s="10" t="str">
        <f>IFERROR(__xludf.DUMMYFUNCTION("""COMPUTED_VALUE"""),"-")</f>
        <v>-</v>
      </c>
      <c r="E21" s="10" t="str">
        <f>IFERROR(__xludf.DUMMYFUNCTION("""COMPUTED_VALUE"""),"-")</f>
        <v>-</v>
      </c>
      <c r="F21" s="10" t="str">
        <f>IFERROR(__xludf.DUMMYFUNCTION("""COMPUTED_VALUE"""),"-")</f>
        <v>-</v>
      </c>
      <c r="G21" s="10" t="str">
        <f>IFERROR(__xludf.DUMMYFUNCTION("""COMPUTED_VALUE"""),"58 руб")</f>
        <v>58 руб</v>
      </c>
      <c r="H21" s="10" t="str">
        <f>IFERROR(__xludf.DUMMYFUNCTION("""COMPUTED_VALUE"""),"51 руб")</f>
        <v>51 руб</v>
      </c>
    </row>
    <row r="22">
      <c r="A22" s="13" t="str">
        <f>IFERROR(__xludf.DUMMYFUNCTION("""COMPUTED_VALUE"""),"Папка с подъемом")</f>
        <v>Папка с подъемом</v>
      </c>
      <c r="B22" s="13" t="str">
        <f>IFERROR(__xludf.DUMMYFUNCTION("""COMPUTED_VALUE"""),"")</f>
        <v/>
      </c>
      <c r="C22" s="13" t="str">
        <f>IFERROR(__xludf.DUMMYFUNCTION("""COMPUTED_VALUE"""),"50 шт")</f>
        <v>50 шт</v>
      </c>
      <c r="D22" s="13" t="str">
        <f>IFERROR(__xludf.DUMMYFUNCTION("""COMPUTED_VALUE"""),"100 шт")</f>
        <v>100 шт</v>
      </c>
      <c r="E22" s="13" t="str">
        <f>IFERROR(__xludf.DUMMYFUNCTION("""COMPUTED_VALUE"""),"200 шт")</f>
        <v>200 шт</v>
      </c>
      <c r="F22" s="13" t="str">
        <f>IFERROR(__xludf.DUMMYFUNCTION("""COMPUTED_VALUE"""),"300 шт")</f>
        <v>300 шт</v>
      </c>
      <c r="G22" s="13" t="str">
        <f>IFERROR(__xludf.DUMMYFUNCTION("""COMPUTED_VALUE"""),"500 шт")</f>
        <v>500 шт</v>
      </c>
      <c r="H22" s="13" t="str">
        <f>IFERROR(__xludf.DUMMYFUNCTION("""COMPUTED_VALUE"""),"1000 шт")</f>
        <v>1000 шт</v>
      </c>
    </row>
    <row r="23">
      <c r="A23" s="8" t="str">
        <f>IFERROR(__xludf.DUMMYFUNCTION("""COMPUTED_VALUE"""),"ППК-1")</f>
        <v>ППК-1</v>
      </c>
      <c r="B23" s="8" t="str">
        <f>IFERROR(__xludf.DUMMYFUNCTION("""COMPUTED_VALUE"""),"Папка с подъемом 10 мм на кнопке (формат А4) с поноцветной печатью, 550 мкм")</f>
        <v>Папка с подъемом 10 мм на кнопке (формат А4) с поноцветной печатью, 550 мкм</v>
      </c>
      <c r="C23" s="10" t="str">
        <f>IFERROR(__xludf.DUMMYFUNCTION("""COMPUTED_VALUE"""),"-")</f>
        <v>-</v>
      </c>
      <c r="D23" s="10" t="str">
        <f>IFERROR(__xludf.DUMMYFUNCTION("""COMPUTED_VALUE"""),"-")</f>
        <v>-</v>
      </c>
      <c r="E23" s="10" t="str">
        <f>IFERROR(__xludf.DUMMYFUNCTION("""COMPUTED_VALUE"""),"-")</f>
        <v>-</v>
      </c>
      <c r="F23" s="10" t="str">
        <f>IFERROR(__xludf.DUMMYFUNCTION("""COMPUTED_VALUE"""),"-")</f>
        <v>-</v>
      </c>
      <c r="G23" s="10" t="str">
        <f>IFERROR(__xludf.DUMMYFUNCTION("""COMPUTED_VALUE"""),"120 руб")</f>
        <v>120 руб</v>
      </c>
      <c r="H23" s="10" t="str">
        <f>IFERROR(__xludf.DUMMYFUNCTION("""COMPUTED_VALUE"""),"110 руб")</f>
        <v>110 руб</v>
      </c>
    </row>
    <row r="24">
      <c r="A24" s="8" t="str">
        <f>IFERROR(__xludf.DUMMYFUNCTION("""COMPUTED_VALUE"""),"ППР-2")</f>
        <v>ППР-2</v>
      </c>
      <c r="B24" s="8" t="str">
        <f>IFERROR(__xludf.DUMMYFUNCTION("""COMPUTED_VALUE"""),"Папка с подъемом 10 мм на резинке (формат А4) с поноцветной печатью, 550 мкм")</f>
        <v>Папка с подъемом 10 мм на резинке (формат А4) с поноцветной печатью, 550 мкм</v>
      </c>
      <c r="C24" s="10" t="str">
        <f>IFERROR(__xludf.DUMMYFUNCTION("""COMPUTED_VALUE"""),"-")</f>
        <v>-</v>
      </c>
      <c r="D24" s="10" t="str">
        <f>IFERROR(__xludf.DUMMYFUNCTION("""COMPUTED_VALUE"""),"-")</f>
        <v>-</v>
      </c>
      <c r="E24" s="10" t="str">
        <f>IFERROR(__xludf.DUMMYFUNCTION("""COMPUTED_VALUE"""),"-")</f>
        <v>-</v>
      </c>
      <c r="F24" s="10" t="str">
        <f>IFERROR(__xludf.DUMMYFUNCTION("""COMPUTED_VALUE"""),"-")</f>
        <v>-</v>
      </c>
      <c r="G24" s="10" t="str">
        <f>IFERROR(__xludf.DUMMYFUNCTION("""COMPUTED_VALUE"""),"130 руб")</f>
        <v>130 руб</v>
      </c>
      <c r="H24" s="10" t="str">
        <f>IFERROR(__xludf.DUMMYFUNCTION("""COMPUTED_VALUE"""),"120 руб")</f>
        <v>120 руб</v>
      </c>
    </row>
    <row r="25">
      <c r="A25" s="8" t="str">
        <f>IFERROR(__xludf.DUMMYFUNCTION("""COMPUTED_VALUE"""),"ППК-3")</f>
        <v>ППК-3</v>
      </c>
      <c r="B25" s="8" t="str">
        <f>IFERROR(__xludf.DUMMYFUNCTION("""COMPUTED_VALUE"""),"Папка с подъемом 10 мм на кнопке (формат А5) с полноцветной печатью, 550 мкм")</f>
        <v>Папка с подъемом 10 мм на кнопке (формат А5) с полноцветной печатью, 550 мкм</v>
      </c>
      <c r="C25" s="10" t="str">
        <f>IFERROR(__xludf.DUMMYFUNCTION("""COMPUTED_VALUE"""),"-")</f>
        <v>-</v>
      </c>
      <c r="D25" s="10" t="str">
        <f>IFERROR(__xludf.DUMMYFUNCTION("""COMPUTED_VALUE"""),"-")</f>
        <v>-</v>
      </c>
      <c r="E25" s="10" t="str">
        <f>IFERROR(__xludf.DUMMYFUNCTION("""COMPUTED_VALUE"""),"-")</f>
        <v>-</v>
      </c>
      <c r="F25" s="10" t="str">
        <f>IFERROR(__xludf.DUMMYFUNCTION("""COMPUTED_VALUE"""),"-")</f>
        <v>-</v>
      </c>
      <c r="G25" s="10" t="str">
        <f>IFERROR(__xludf.DUMMYFUNCTION("""COMPUTED_VALUE"""),"95 руб")</f>
        <v>95 руб</v>
      </c>
      <c r="H25" s="10" t="str">
        <f>IFERROR(__xludf.DUMMYFUNCTION("""COMPUTED_VALUE"""),"85 руб")</f>
        <v>85 руб</v>
      </c>
    </row>
    <row r="26">
      <c r="A26" s="8" t="str">
        <f>IFERROR(__xludf.DUMMYFUNCTION("""COMPUTED_VALUE"""),"ППР-4")</f>
        <v>ППР-4</v>
      </c>
      <c r="B26" s="8" t="str">
        <f>IFERROR(__xludf.DUMMYFUNCTION("""COMPUTED_VALUE"""),"Папка с подъемом 10 мм на резинке (формат А5) с полноцветной печатью, 550 мкм")</f>
        <v>Папка с подъемом 10 мм на резинке (формат А5) с полноцветной печатью, 550 мкм</v>
      </c>
      <c r="C26" s="10" t="str">
        <f>IFERROR(__xludf.DUMMYFUNCTION("""COMPUTED_VALUE"""),"-")</f>
        <v>-</v>
      </c>
      <c r="D26" s="10" t="str">
        <f>IFERROR(__xludf.DUMMYFUNCTION("""COMPUTED_VALUE"""),"-")</f>
        <v>-</v>
      </c>
      <c r="E26" s="10" t="str">
        <f>IFERROR(__xludf.DUMMYFUNCTION("""COMPUTED_VALUE"""),"-")</f>
        <v>-</v>
      </c>
      <c r="F26" s="10" t="str">
        <f>IFERROR(__xludf.DUMMYFUNCTION("""COMPUTED_VALUE"""),"-")</f>
        <v>-</v>
      </c>
      <c r="G26" s="10" t="str">
        <f>IFERROR(__xludf.DUMMYFUNCTION("""COMPUTED_VALUE"""),"105 руб")</f>
        <v>105 руб</v>
      </c>
      <c r="H26" s="10" t="str">
        <f>IFERROR(__xludf.DUMMYFUNCTION("""COMPUTED_VALUE"""),"95 руб")</f>
        <v>95 руб</v>
      </c>
    </row>
    <row r="27">
      <c r="A27" s="13" t="str">
        <f>IFERROR(__xludf.DUMMYFUNCTION("""COMPUTED_VALUE"""),"Папка-портфель")</f>
        <v>Папка-портфель</v>
      </c>
      <c r="B27" s="13" t="str">
        <f>IFERROR(__xludf.DUMMYFUNCTION("""COMPUTED_VALUE"""),"")</f>
        <v/>
      </c>
      <c r="C27" s="13" t="str">
        <f>IFERROR(__xludf.DUMMYFUNCTION("""COMPUTED_VALUE"""),"50 шт")</f>
        <v>50 шт</v>
      </c>
      <c r="D27" s="13" t="str">
        <f>IFERROR(__xludf.DUMMYFUNCTION("""COMPUTED_VALUE"""),"100 шт")</f>
        <v>100 шт</v>
      </c>
      <c r="E27" s="13" t="str">
        <f>IFERROR(__xludf.DUMMYFUNCTION("""COMPUTED_VALUE"""),"200 шт")</f>
        <v>200 шт</v>
      </c>
      <c r="F27" s="13" t="str">
        <f>IFERROR(__xludf.DUMMYFUNCTION("""COMPUTED_VALUE"""),"300 шт")</f>
        <v>300 шт</v>
      </c>
      <c r="G27" s="13" t="str">
        <f>IFERROR(__xludf.DUMMYFUNCTION("""COMPUTED_VALUE"""),"500 шт")</f>
        <v>500 шт</v>
      </c>
      <c r="H27" s="13" t="str">
        <f>IFERROR(__xludf.DUMMYFUNCTION("""COMPUTED_VALUE"""),"1000 шт")</f>
        <v>1000 шт</v>
      </c>
    </row>
    <row r="28">
      <c r="A28" s="8" t="str">
        <f>IFERROR(__xludf.DUMMYFUNCTION("""COMPUTED_VALUE"""),"ПП-1")</f>
        <v>ПП-1</v>
      </c>
      <c r="B28" s="8" t="str">
        <f>IFERROR(__xludf.DUMMYFUNCTION("""COMPUTED_VALUE"""),"Папка-Портфель с подъемом 40 мм (формат А4) с пластиковым замком и ручкой, 550 мкм, полноцветная печать")</f>
        <v>Папка-Портфель с подъемом 40 мм (формат А4) с пластиковым замком и ручкой, 550 мкм, полноцветная печать</v>
      </c>
      <c r="C28" s="10" t="str">
        <f>IFERROR(__xludf.DUMMYFUNCTION("""COMPUTED_VALUE"""),"-")</f>
        <v>-</v>
      </c>
      <c r="D28" s="10" t="str">
        <f>IFERROR(__xludf.DUMMYFUNCTION("""COMPUTED_VALUE"""),"-")</f>
        <v>-</v>
      </c>
      <c r="E28" s="10" t="str">
        <f>IFERROR(__xludf.DUMMYFUNCTION("""COMPUTED_VALUE"""),"-")</f>
        <v>-</v>
      </c>
      <c r="F28" s="10" t="str">
        <f>IFERROR(__xludf.DUMMYFUNCTION("""COMPUTED_VALUE"""),"-")</f>
        <v>-</v>
      </c>
      <c r="G28" s="10" t="str">
        <f>IFERROR(__xludf.DUMMYFUNCTION("""COMPUTED_VALUE"""),"180 руб")</f>
        <v>180 руб</v>
      </c>
      <c r="H28" s="10" t="str">
        <f>IFERROR(__xludf.DUMMYFUNCTION("""COMPUTED_VALUE"""),"165 руб")</f>
        <v>165 руб</v>
      </c>
    </row>
    <row r="29">
      <c r="A29" s="13" t="str">
        <f>IFERROR(__xludf.DUMMYFUNCTION("""COMPUTED_VALUE"""),"Папка на крольцах")</f>
        <v>Папка на крольцах</v>
      </c>
      <c r="B29" s="13" t="str">
        <f>IFERROR(__xludf.DUMMYFUNCTION("""COMPUTED_VALUE"""),"")</f>
        <v/>
      </c>
      <c r="C29" s="13" t="str">
        <f>IFERROR(__xludf.DUMMYFUNCTION("""COMPUTED_VALUE"""),"50 шт")</f>
        <v>50 шт</v>
      </c>
      <c r="D29" s="13" t="str">
        <f>IFERROR(__xludf.DUMMYFUNCTION("""COMPUTED_VALUE"""),"100 шт")</f>
        <v>100 шт</v>
      </c>
      <c r="E29" s="13" t="str">
        <f>IFERROR(__xludf.DUMMYFUNCTION("""COMPUTED_VALUE"""),"200 шт")</f>
        <v>200 шт</v>
      </c>
      <c r="F29" s="13" t="str">
        <f>IFERROR(__xludf.DUMMYFUNCTION("""COMPUTED_VALUE"""),"300 шт")</f>
        <v>300 шт</v>
      </c>
      <c r="G29" s="13" t="str">
        <f>IFERROR(__xludf.DUMMYFUNCTION("""COMPUTED_VALUE"""),"500 шт")</f>
        <v>500 шт</v>
      </c>
      <c r="H29" s="13" t="str">
        <f>IFERROR(__xludf.DUMMYFUNCTION("""COMPUTED_VALUE"""),"1000 шт")</f>
        <v>1000 шт</v>
      </c>
    </row>
    <row r="30">
      <c r="A30" s="8" t="str">
        <f>IFERROR(__xludf.DUMMYFUNCTION("""COMPUTED_VALUE"""),"ППКМ4-1 (Полипропилен)")</f>
        <v>ППКМ4-1 (Полипропилен)</v>
      </c>
      <c r="B30" s="8" t="str">
        <f>IFERROR(__xludf.DUMMYFUNCTION("""COMPUTED_VALUE"""),"Папка на 4-х кольцах (формат А4) с полноцветной печатью, 550 мкм, диаметр кольца 16 мм, ширина корешка 25 мм.")</f>
        <v>Папка на 4-х кольцах (формат А4) с полноцветной печатью, 550 мкм, диаметр кольца 16 мм, ширина корешка 25 мм.</v>
      </c>
      <c r="C30" s="10" t="str">
        <f>IFERROR(__xludf.DUMMYFUNCTION("""COMPUTED_VALUE"""),"-")</f>
        <v>-</v>
      </c>
      <c r="D30" s="10" t="str">
        <f>IFERROR(__xludf.DUMMYFUNCTION("""COMPUTED_VALUE"""),"-")</f>
        <v>-</v>
      </c>
      <c r="E30" s="10" t="str">
        <f>IFERROR(__xludf.DUMMYFUNCTION("""COMPUTED_VALUE"""),"-")</f>
        <v>-</v>
      </c>
      <c r="F30" s="10" t="str">
        <f>IFERROR(__xludf.DUMMYFUNCTION("""COMPUTED_VALUE"""),"-")</f>
        <v>-</v>
      </c>
      <c r="G30" s="10" t="str">
        <f>IFERROR(__xludf.DUMMYFUNCTION("""COMPUTED_VALUE"""),"153 руб")</f>
        <v>153 руб</v>
      </c>
      <c r="H30" s="10" t="str">
        <f>IFERROR(__xludf.DUMMYFUNCTION("""COMPUTED_VALUE"""),"138 руб")</f>
        <v>138 руб</v>
      </c>
    </row>
    <row r="31">
      <c r="A31" s="8" t="str">
        <f>IFERROR(__xludf.DUMMYFUNCTION("""COMPUTED_VALUE"""),"ППКА4 - 30 (Пвх/Картон)")</f>
        <v>ППКА4 - 30 (Пвх/Картон)</v>
      </c>
      <c r="B31" s="8" t="str">
        <f>IFERROR(__xludf.DUMMYFUNCTION("""COMPUTED_VALUE"""),"Папка на 4-х кольцах (формат А4, 2.7 мм, Пвх/Картон) с полноцветной печатью, диаметр кольца 25 мм, ширина корешка 30 мм")</f>
        <v>Папка на 4-х кольцах (формат А4, 2.7 мм, Пвх/Картон) с полноцветной печатью, диаметр кольца 25 мм, ширина корешка 30 мм</v>
      </c>
      <c r="C31" s="10" t="str">
        <f>IFERROR(__xludf.DUMMYFUNCTION("""COMPUTED_VALUE"""),"270 руб")</f>
        <v>270 руб</v>
      </c>
      <c r="D31" s="10" t="str">
        <f>IFERROR(__xludf.DUMMYFUNCTION("""COMPUTED_VALUE"""),"260 руб")</f>
        <v>260 руб</v>
      </c>
      <c r="E31" s="10" t="str">
        <f>IFERROR(__xludf.DUMMYFUNCTION("""COMPUTED_VALUE"""),"250 руб")</f>
        <v>250 руб</v>
      </c>
      <c r="F31" s="10" t="str">
        <f>IFERROR(__xludf.DUMMYFUNCTION("""COMPUTED_VALUE"""),"240 руб")</f>
        <v>240 руб</v>
      </c>
      <c r="G31" s="10" t="str">
        <f>IFERROR(__xludf.DUMMYFUNCTION("""COMPUTED_VALUE"""),"230 руб")</f>
        <v>230 руб</v>
      </c>
      <c r="H31" s="10" t="str">
        <f>IFERROR(__xludf.DUMMYFUNCTION("""COMPUTED_VALUE"""),"220 руб")</f>
        <v>220 руб</v>
      </c>
    </row>
    <row r="32">
      <c r="A32" s="8" t="str">
        <f>IFERROR(__xludf.DUMMYFUNCTION("""COMPUTED_VALUE"""),"ППКА4 - 50 (Пвх/Картон)")</f>
        <v>ППКА4 - 50 (Пвх/Картон)</v>
      </c>
      <c r="B32" s="8" t="str">
        <f>IFERROR(__xludf.DUMMYFUNCTION("""COMPUTED_VALUE"""),"Папка на 4-х кольцах (формат А4, 2.7 мм, Пвх/Картон) с полноцветной печатью, диаметр кольца 45 мм, ширина корешка 50 мм")</f>
        <v>Папка на 4-х кольцах (формат А4, 2.7 мм, Пвх/Картон) с полноцветной печатью, диаметр кольца 45 мм, ширина корешка 50 мм</v>
      </c>
      <c r="C32" s="10" t="str">
        <f>IFERROR(__xludf.DUMMYFUNCTION("""COMPUTED_VALUE"""),"280 руб")</f>
        <v>280 руб</v>
      </c>
      <c r="D32" s="10" t="str">
        <f>IFERROR(__xludf.DUMMYFUNCTION("""COMPUTED_VALUE"""),"270 руб")</f>
        <v>270 руб</v>
      </c>
      <c r="E32" s="10" t="str">
        <f>IFERROR(__xludf.DUMMYFUNCTION("""COMPUTED_VALUE"""),"260 руб")</f>
        <v>260 руб</v>
      </c>
      <c r="F32" s="10" t="str">
        <f>IFERROR(__xludf.DUMMYFUNCTION("""COMPUTED_VALUE"""),"250 руб")</f>
        <v>250 руб</v>
      </c>
      <c r="G32" s="10" t="str">
        <f>IFERROR(__xludf.DUMMYFUNCTION("""COMPUTED_VALUE"""),"240 руб")</f>
        <v>240 руб</v>
      </c>
      <c r="H32" s="10" t="str">
        <f>IFERROR(__xludf.DUMMYFUNCTION("""COMPUTED_VALUE"""),"230 руб")</f>
        <v>230 руб</v>
      </c>
    </row>
    <row r="33">
      <c r="A33" s="13" t="str">
        <f>IFERROR(__xludf.DUMMYFUNCTION("""COMPUTED_VALUE"""),"Папка на молнии")</f>
        <v>Папка на молнии</v>
      </c>
      <c r="B33" s="13" t="str">
        <f>IFERROR(__xludf.DUMMYFUNCTION("""COMPUTED_VALUE"""),"")</f>
        <v/>
      </c>
      <c r="C33" s="13" t="str">
        <f>IFERROR(__xludf.DUMMYFUNCTION("""COMPUTED_VALUE"""),"50 шт")</f>
        <v>50 шт</v>
      </c>
      <c r="D33" s="13" t="str">
        <f>IFERROR(__xludf.DUMMYFUNCTION("""COMPUTED_VALUE"""),"100 шт")</f>
        <v>100 шт</v>
      </c>
      <c r="E33" s="13" t="str">
        <f>IFERROR(__xludf.DUMMYFUNCTION("""COMPUTED_VALUE"""),"200 шт")</f>
        <v>200 шт</v>
      </c>
      <c r="F33" s="13" t="str">
        <f>IFERROR(__xludf.DUMMYFUNCTION("""COMPUTED_VALUE"""),"300 шт")</f>
        <v>300 шт</v>
      </c>
      <c r="G33" s="13" t="str">
        <f>IFERROR(__xludf.DUMMYFUNCTION("""COMPUTED_VALUE"""),"500 шт")</f>
        <v>500 шт</v>
      </c>
      <c r="H33" s="13" t="str">
        <f>IFERROR(__xludf.DUMMYFUNCTION("""COMPUTED_VALUE"""),"1000 шт")</f>
        <v>1000 шт</v>
      </c>
    </row>
    <row r="34">
      <c r="A34" s="8" t="str">
        <f>IFERROR(__xludf.DUMMYFUNCTION("""COMPUTED_VALUE"""),"ПЖМ - 1")</f>
        <v>ПЖМ - 1</v>
      </c>
      <c r="B34" s="8" t="str">
        <f>IFERROR(__xludf.DUMMYFUNCTION("""COMPUTED_VALUE"""),"Папка на молнии формата А4  (240х330) с подъемом 25 мм")</f>
        <v>Папка на молнии формата А4  (240х330) с подъемом 25 мм</v>
      </c>
      <c r="C34" s="10" t="str">
        <f>IFERROR(__xludf.DUMMYFUNCTION("""COMPUTED_VALUE"""),"-")</f>
        <v>-</v>
      </c>
      <c r="D34" s="10" t="str">
        <f>IFERROR(__xludf.DUMMYFUNCTION("""COMPUTED_VALUE"""),"-")</f>
        <v>-</v>
      </c>
      <c r="E34" s="10" t="str">
        <f>IFERROR(__xludf.DUMMYFUNCTION("""COMPUTED_VALUE"""),"-")</f>
        <v>-</v>
      </c>
      <c r="F34" s="10" t="str">
        <f>IFERROR(__xludf.DUMMYFUNCTION("""COMPUTED_VALUE"""),"-")</f>
        <v>-</v>
      </c>
      <c r="G34" s="10" t="str">
        <f>IFERROR(__xludf.DUMMYFUNCTION("""COMPUTED_VALUE"""),"210 руб")</f>
        <v>210 руб</v>
      </c>
      <c r="H34" s="10" t="str">
        <f>IFERROR(__xludf.DUMMYFUNCTION("""COMPUTED_VALUE"""),"190 руб")</f>
        <v>190 руб</v>
      </c>
    </row>
    <row r="35">
      <c r="A35" s="13" t="str">
        <f>IFERROR(__xludf.DUMMYFUNCTION("""COMPUTED_VALUE"""),"Конверт для полиса")</f>
        <v>Конверт для полиса</v>
      </c>
      <c r="B35" s="13" t="str">
        <f>IFERROR(__xludf.DUMMYFUNCTION("""COMPUTED_VALUE"""),"")</f>
        <v/>
      </c>
      <c r="C35" s="13" t="str">
        <f>IFERROR(__xludf.DUMMYFUNCTION("""COMPUTED_VALUE"""),"50 шт")</f>
        <v>50 шт</v>
      </c>
      <c r="D35" s="13" t="str">
        <f>IFERROR(__xludf.DUMMYFUNCTION("""COMPUTED_VALUE"""),"100 шт")</f>
        <v>100 шт</v>
      </c>
      <c r="E35" s="13" t="str">
        <f>IFERROR(__xludf.DUMMYFUNCTION("""COMPUTED_VALUE"""),"200 шт")</f>
        <v>200 шт</v>
      </c>
      <c r="F35" s="13" t="str">
        <f>IFERROR(__xludf.DUMMYFUNCTION("""COMPUTED_VALUE"""),"300 шт")</f>
        <v>300 шт</v>
      </c>
      <c r="G35" s="13" t="str">
        <f>IFERROR(__xludf.DUMMYFUNCTION("""COMPUTED_VALUE"""),"500 шт")</f>
        <v>500 шт</v>
      </c>
      <c r="H35" s="13" t="str">
        <f>IFERROR(__xludf.DUMMYFUNCTION("""COMPUTED_VALUE"""),"1000 шт")</f>
        <v>1000 шт</v>
      </c>
    </row>
    <row r="36">
      <c r="A36" s="8" t="str">
        <f>IFERROR(__xludf.DUMMYFUNCTION("""COMPUTED_VALUE"""),"КСП - 1")</f>
        <v>КСП - 1</v>
      </c>
      <c r="B36" s="8" t="str">
        <f>IFERROR(__xludf.DUMMYFUNCTION("""COMPUTED_VALUE"""),"Конверт для страхового полиса, 240х330 мм, 350 мкм")</f>
        <v>Конверт для страхового полиса, 240х330 мм, 350 мкм</v>
      </c>
      <c r="C36" s="10" t="str">
        <f>IFERROR(__xludf.DUMMYFUNCTION("""COMPUTED_VALUE"""),"-")</f>
        <v>-</v>
      </c>
      <c r="D36" s="10" t="str">
        <f>IFERROR(__xludf.DUMMYFUNCTION("""COMPUTED_VALUE"""),"-")</f>
        <v>-</v>
      </c>
      <c r="E36" s="10" t="str">
        <f>IFERROR(__xludf.DUMMYFUNCTION("""COMPUTED_VALUE"""),"-")</f>
        <v>-</v>
      </c>
      <c r="F36" s="10" t="str">
        <f>IFERROR(__xludf.DUMMYFUNCTION("""COMPUTED_VALUE"""),"-")</f>
        <v>-</v>
      </c>
      <c r="G36" s="10" t="str">
        <f>IFERROR(__xludf.DUMMYFUNCTION("""COMPUTED_VALUE"""),"90 руб")</f>
        <v>90 руб</v>
      </c>
      <c r="H36" s="10" t="str">
        <f>IFERROR(__xludf.DUMMYFUNCTION("""COMPUTED_VALUE"""),"80 руб")</f>
        <v>80 руб</v>
      </c>
    </row>
    <row r="37">
      <c r="A37" s="13" t="str">
        <f>IFERROR(__xludf.DUMMYFUNCTION("""COMPUTED_VALUE"""),"Турконверты Полипропилен")</f>
        <v>Турконверты Полипропилен</v>
      </c>
      <c r="B37" s="13" t="str">
        <f>IFERROR(__xludf.DUMMYFUNCTION("""COMPUTED_VALUE"""),"")</f>
        <v/>
      </c>
      <c r="C37" s="13" t="str">
        <f>IFERROR(__xludf.DUMMYFUNCTION("""COMPUTED_VALUE"""),"50 шт")</f>
        <v>50 шт</v>
      </c>
      <c r="D37" s="13" t="str">
        <f>IFERROR(__xludf.DUMMYFUNCTION("""COMPUTED_VALUE"""),"100 шт")</f>
        <v>100 шт</v>
      </c>
      <c r="E37" s="13" t="str">
        <f>IFERROR(__xludf.DUMMYFUNCTION("""COMPUTED_VALUE"""),"200 шт")</f>
        <v>200 шт</v>
      </c>
      <c r="F37" s="13" t="str">
        <f>IFERROR(__xludf.DUMMYFUNCTION("""COMPUTED_VALUE"""),"300 шт")</f>
        <v>300 шт</v>
      </c>
      <c r="G37" s="13" t="str">
        <f>IFERROR(__xludf.DUMMYFUNCTION("""COMPUTED_VALUE"""),"500 шт")</f>
        <v>500 шт</v>
      </c>
      <c r="H37" s="13" t="str">
        <f>IFERROR(__xludf.DUMMYFUNCTION("""COMPUTED_VALUE"""),"1000 шт")</f>
        <v>1000 шт</v>
      </c>
    </row>
    <row r="38">
      <c r="A38" s="8" t="str">
        <f>IFERROR(__xludf.DUMMYFUNCTION("""COMPUTED_VALUE"""),"ТКПП - 1")</f>
        <v>ТКПП - 1</v>
      </c>
      <c r="B38" s="8" t="str">
        <f>IFERROR(__xludf.DUMMYFUNCTION("""COMPUTED_VALUE"""),"Турконверт из полипропилена с защелкой, 229х110 мм, 200 мкм")</f>
        <v>Турконверт из полипропилена с защелкой, 229х110 мм, 200 мкм</v>
      </c>
      <c r="C38" s="10" t="str">
        <f>IFERROR(__xludf.DUMMYFUNCTION("""COMPUTED_VALUE"""),"-")</f>
        <v>-</v>
      </c>
      <c r="D38" s="10" t="str">
        <f>IFERROR(__xludf.DUMMYFUNCTION("""COMPUTED_VALUE"""),"-")</f>
        <v>-</v>
      </c>
      <c r="E38" s="10" t="str">
        <f>IFERROR(__xludf.DUMMYFUNCTION("""COMPUTED_VALUE"""),"-")</f>
        <v>-</v>
      </c>
      <c r="F38" s="10" t="str">
        <f>IFERROR(__xludf.DUMMYFUNCTION("""COMPUTED_VALUE"""),"-")</f>
        <v>-</v>
      </c>
      <c r="G38" s="10" t="str">
        <f>IFERROR(__xludf.DUMMYFUNCTION("""COMPUTED_VALUE"""),"45 руб")</f>
        <v>45 руб</v>
      </c>
      <c r="H38" s="10" t="str">
        <f>IFERROR(__xludf.DUMMYFUNCTION("""COMPUTED_VALUE"""),"40 руб")</f>
        <v>40 руб</v>
      </c>
    </row>
    <row r="39">
      <c r="A39" s="8" t="str">
        <f>IFERROR(__xludf.DUMMYFUNCTION("""COMPUTED_VALUE"""),"ТКПП4 - 2")</f>
        <v>ТКПП4 - 2</v>
      </c>
      <c r="B39" s="8" t="str">
        <f>IFERROR(__xludf.DUMMYFUNCTION("""COMPUTED_VALUE"""),"Турконверт из полипропилена с четырьмя дополнительными отделениями, 218х110 мм, 200 мкм")</f>
        <v>Турконверт из полипропилена с четырьмя дополнительными отделениями, 218х110 мм, 200 мкм</v>
      </c>
      <c r="C39" s="10" t="str">
        <f>IFERROR(__xludf.DUMMYFUNCTION("""COMPUTED_VALUE"""),"-")</f>
        <v>-</v>
      </c>
      <c r="D39" s="10" t="str">
        <f>IFERROR(__xludf.DUMMYFUNCTION("""COMPUTED_VALUE"""),"-")</f>
        <v>-</v>
      </c>
      <c r="E39" s="10" t="str">
        <f>IFERROR(__xludf.DUMMYFUNCTION("""COMPUTED_VALUE"""),"-")</f>
        <v>-</v>
      </c>
      <c r="F39" s="10" t="str">
        <f>IFERROR(__xludf.DUMMYFUNCTION("""COMPUTED_VALUE"""),"-")</f>
        <v>-</v>
      </c>
      <c r="G39" s="10" t="str">
        <f>IFERROR(__xludf.DUMMYFUNCTION("""COMPUTED_VALUE"""),"55 руб")</f>
        <v>55 руб</v>
      </c>
      <c r="H39" s="10" t="str">
        <f>IFERROR(__xludf.DUMMYFUNCTION("""COMPUTED_VALUE"""),"50 руб")</f>
        <v>50 руб</v>
      </c>
    </row>
    <row r="40">
      <c r="A40" s="28" t="str">
        <f>IFERROR(__xludf.DUMMYFUNCTION("""COMPUTED_VALUE"""),"")</f>
        <v/>
      </c>
      <c r="B40" s="28" t="str">
        <f>IFERROR(__xludf.DUMMYFUNCTION("""COMPUTED_VALUE"""),"")</f>
        <v/>
      </c>
      <c r="C40" s="28" t="str">
        <f>IFERROR(__xludf.DUMMYFUNCTION("""COMPUTED_VALUE"""),"")</f>
        <v/>
      </c>
      <c r="D40" s="28" t="str">
        <f>IFERROR(__xludf.DUMMYFUNCTION("""COMPUTED_VALUE"""),"")</f>
        <v/>
      </c>
      <c r="E40" s="28" t="str">
        <f>IFERROR(__xludf.DUMMYFUNCTION("""COMPUTED_VALUE"""),"")</f>
        <v/>
      </c>
      <c r="F40" s="28" t="str">
        <f>IFERROR(__xludf.DUMMYFUNCTION("""COMPUTED_VALUE"""),"")</f>
        <v/>
      </c>
      <c r="G40" s="28" t="str">
        <f>IFERROR(__xludf.DUMMYFUNCTION("""COMPUTED_VALUE"""),"")</f>
        <v/>
      </c>
      <c r="H40" s="28" t="str">
        <f>IFERROR(__xludf.DUMMYFUNCTION("""COMPUTED_VALUE"""),"")</f>
        <v/>
      </c>
    </row>
    <row r="41">
      <c r="A41" s="28" t="str">
        <f>IFERROR(__xludf.DUMMYFUNCTION("""COMPUTED_VALUE"""),"")</f>
        <v/>
      </c>
      <c r="B41" s="28" t="str">
        <f>IFERROR(__xludf.DUMMYFUNCTION("""COMPUTED_VALUE"""),"")</f>
        <v/>
      </c>
      <c r="C41" s="28" t="str">
        <f>IFERROR(__xludf.DUMMYFUNCTION("""COMPUTED_VALUE"""),"")</f>
        <v/>
      </c>
      <c r="D41" s="28" t="str">
        <f>IFERROR(__xludf.DUMMYFUNCTION("""COMPUTED_VALUE"""),"")</f>
        <v/>
      </c>
      <c r="E41" s="28" t="str">
        <f>IFERROR(__xludf.DUMMYFUNCTION("""COMPUTED_VALUE"""),"")</f>
        <v/>
      </c>
      <c r="F41" s="28" t="str">
        <f>IFERROR(__xludf.DUMMYFUNCTION("""COMPUTED_VALUE"""),"")</f>
        <v/>
      </c>
      <c r="G41" s="28" t="str">
        <f>IFERROR(__xludf.DUMMYFUNCTION("""COMPUTED_VALUE"""),"")</f>
        <v/>
      </c>
      <c r="H41" s="28" t="str">
        <f>IFERROR(__xludf.DUMMYFUNCTION("""COMPUTED_VALUE"""),"")</f>
        <v/>
      </c>
    </row>
    <row r="42">
      <c r="A42" s="28" t="str">
        <f>IFERROR(__xludf.DUMMYFUNCTION("""COMPUTED_VALUE"""),"")</f>
        <v/>
      </c>
      <c r="B42" s="28" t="str">
        <f>IFERROR(__xludf.DUMMYFUNCTION("""COMPUTED_VALUE"""),"")</f>
        <v/>
      </c>
      <c r="C42" s="28" t="str">
        <f>IFERROR(__xludf.DUMMYFUNCTION("""COMPUTED_VALUE"""),"")</f>
        <v/>
      </c>
      <c r="D42" s="28" t="str">
        <f>IFERROR(__xludf.DUMMYFUNCTION("""COMPUTED_VALUE"""),"")</f>
        <v/>
      </c>
      <c r="E42" s="28" t="str">
        <f>IFERROR(__xludf.DUMMYFUNCTION("""COMPUTED_VALUE"""),"")</f>
        <v/>
      </c>
      <c r="F42" s="28" t="str">
        <f>IFERROR(__xludf.DUMMYFUNCTION("""COMPUTED_VALUE"""),"")</f>
        <v/>
      </c>
      <c r="G42" s="28" t="str">
        <f>IFERROR(__xludf.DUMMYFUNCTION("""COMPUTED_VALUE"""),"")</f>
        <v/>
      </c>
      <c r="H42" s="28" t="str">
        <f>IFERROR(__xludf.DUMMYFUNCTION("""COMPUTED_VALUE"""),"")</f>
        <v/>
      </c>
    </row>
    <row r="43">
      <c r="A43" s="28" t="str">
        <f>IFERROR(__xludf.DUMMYFUNCTION("""COMPUTED_VALUE"""),"")</f>
        <v/>
      </c>
      <c r="B43" s="28" t="str">
        <f>IFERROR(__xludf.DUMMYFUNCTION("""COMPUTED_VALUE"""),"")</f>
        <v/>
      </c>
      <c r="C43" s="28" t="str">
        <f>IFERROR(__xludf.DUMMYFUNCTION("""COMPUTED_VALUE"""),"")</f>
        <v/>
      </c>
      <c r="D43" s="28" t="str">
        <f>IFERROR(__xludf.DUMMYFUNCTION("""COMPUTED_VALUE"""),"")</f>
        <v/>
      </c>
      <c r="E43" s="28" t="str">
        <f>IFERROR(__xludf.DUMMYFUNCTION("""COMPUTED_VALUE"""),"")</f>
        <v/>
      </c>
      <c r="F43" s="28" t="str">
        <f>IFERROR(__xludf.DUMMYFUNCTION("""COMPUTED_VALUE"""),"")</f>
        <v/>
      </c>
      <c r="G43" s="28" t="str">
        <f>IFERROR(__xludf.DUMMYFUNCTION("""COMPUTED_VALUE"""),"")</f>
        <v/>
      </c>
      <c r="H43" s="28" t="str">
        <f>IFERROR(__xludf.DUMMYFUNCTION("""COMPUTED_VALUE"""),"")</f>
        <v/>
      </c>
    </row>
    <row r="44">
      <c r="A44" s="31" t="str">
        <f>IFERROR(__xludf.DUMMYFUNCTION("""COMPUTED_VALUE"""),"    Папки с полноцветной печатью (Мягкий ПВХ)")</f>
        <v>    Папки с полноцветной печатью (Мягкий ПВХ)</v>
      </c>
      <c r="B44" s="31" t="str">
        <f>IFERROR(__xludf.DUMMYFUNCTION("""COMPUTED_VALUE"""),"")</f>
        <v/>
      </c>
      <c r="C44" s="31" t="str">
        <f>IFERROR(__xludf.DUMMYFUNCTION("""COMPUTED_VALUE"""),"")</f>
        <v/>
      </c>
      <c r="D44" s="31" t="str">
        <f>IFERROR(__xludf.DUMMYFUNCTION("""COMPUTED_VALUE"""),"")</f>
        <v/>
      </c>
      <c r="E44" s="31" t="str">
        <f>IFERROR(__xludf.DUMMYFUNCTION("""COMPUTED_VALUE"""),"")</f>
        <v/>
      </c>
      <c r="F44" s="31" t="str">
        <f>IFERROR(__xludf.DUMMYFUNCTION("""COMPUTED_VALUE"""),"")</f>
        <v/>
      </c>
      <c r="G44" s="31" t="str">
        <f>IFERROR(__xludf.DUMMYFUNCTION("""COMPUTED_VALUE"""),"")</f>
        <v/>
      </c>
      <c r="H44" s="31" t="str">
        <f>IFERROR(__xludf.DUMMYFUNCTION("""COMPUTED_VALUE"""),"")</f>
        <v/>
      </c>
    </row>
    <row r="45">
      <c r="A45" s="13" t="str">
        <f>IFERROR(__xludf.DUMMYFUNCTION("""COMPUTED_VALUE"""),"Папка-конверт на Zip-lock")</f>
        <v>Папка-конверт на Zip-lock</v>
      </c>
      <c r="B45" s="13" t="str">
        <f>IFERROR(__xludf.DUMMYFUNCTION("""COMPUTED_VALUE"""),"")</f>
        <v/>
      </c>
      <c r="C45" s="13" t="str">
        <f>IFERROR(__xludf.DUMMYFUNCTION("""COMPUTED_VALUE"""),"50 шт")</f>
        <v>50 шт</v>
      </c>
      <c r="D45" s="13" t="str">
        <f>IFERROR(__xludf.DUMMYFUNCTION("""COMPUTED_VALUE"""),"100 шт")</f>
        <v>100 шт</v>
      </c>
      <c r="E45" s="13" t="str">
        <f>IFERROR(__xludf.DUMMYFUNCTION("""COMPUTED_VALUE"""),"200 шт")</f>
        <v>200 шт</v>
      </c>
      <c r="F45" s="13" t="str">
        <f>IFERROR(__xludf.DUMMYFUNCTION("""COMPUTED_VALUE"""),"300 шт")</f>
        <v>300 шт</v>
      </c>
      <c r="G45" s="13" t="str">
        <f>IFERROR(__xludf.DUMMYFUNCTION("""COMPUTED_VALUE"""),"500 шт")</f>
        <v>500 шт</v>
      </c>
      <c r="H45" s="13" t="str">
        <f>IFERROR(__xludf.DUMMYFUNCTION("""COMPUTED_VALUE"""),"1000 шт")</f>
        <v>1000 шт</v>
      </c>
    </row>
    <row r="46">
      <c r="A46" s="8" t="str">
        <f>IFERROR(__xludf.DUMMYFUNCTION("""COMPUTED_VALUE"""),"ПКМ - 01ПО (офсет)")</f>
        <v>ПКМ - 01ПО (офсет)</v>
      </c>
      <c r="B46" s="8" t="str">
        <f>IFERROR(__xludf.DUMMYFUNCTION("""COMPUTED_VALUE"""),"Папка-конверт на Zip-lock (формат А4) с офсетной полноцветной печатью, ПВХ 250 мкм(белая пленка)")</f>
        <v>Папка-конверт на Zip-lock (формат А4) с офсетной полноцветной печатью, ПВХ 250 мкм(белая пленка)</v>
      </c>
      <c r="C46" s="10" t="str">
        <f>IFERROR(__xludf.DUMMYFUNCTION("""COMPUTED_VALUE"""),"не делаем")</f>
        <v>не делаем</v>
      </c>
      <c r="D46" s="10" t="str">
        <f>IFERROR(__xludf.DUMMYFUNCTION("""COMPUTED_VALUE"""),"не делаем")</f>
        <v>не делаем</v>
      </c>
      <c r="E46" s="10" t="str">
        <f>IFERROR(__xludf.DUMMYFUNCTION("""COMPUTED_VALUE"""),"не делаем")</f>
        <v>не делаем</v>
      </c>
      <c r="F46" s="10" t="str">
        <f>IFERROR(__xludf.DUMMYFUNCTION("""COMPUTED_VALUE"""),"не делаем")</f>
        <v>не делаем</v>
      </c>
      <c r="G46" s="18" t="str">
        <f>IFERROR(__xludf.DUMMYFUNCTION("""COMPUTED_VALUE"""),"80 руб")</f>
        <v>80 руб</v>
      </c>
      <c r="H46" s="18" t="str">
        <f>IFERROR(__xludf.DUMMYFUNCTION("""COMPUTED_VALUE"""),"65 руб")</f>
        <v>65 руб</v>
      </c>
    </row>
    <row r="47">
      <c r="A47" s="8" t="str">
        <f>IFERROR(__xludf.DUMMYFUNCTION("""COMPUTED_VALUE"""),"ПКМ - 01ПЦ (цифра)")</f>
        <v>ПКМ - 01ПЦ (цифра)</v>
      </c>
      <c r="B47" s="8" t="str">
        <f>IFERROR(__xludf.DUMMYFUNCTION("""COMPUTED_VALUE"""),"Папка-конверт на Zip-lock (формат А4) с цифровой полноцветной печатью, ПВХ 250 мкм")</f>
        <v>Папка-конверт на Zip-lock (формат А4) с цифровой полноцветной печатью, ПВХ 250 мкм</v>
      </c>
      <c r="C47" s="10" t="str">
        <f>IFERROR(__xludf.DUMMYFUNCTION("""COMPUTED_VALUE"""),"-")</f>
        <v>-</v>
      </c>
      <c r="D47" s="10" t="str">
        <f>IFERROR(__xludf.DUMMYFUNCTION("""COMPUTED_VALUE"""),"165 руб")</f>
        <v>165 руб</v>
      </c>
      <c r="E47" s="10" t="str">
        <f>IFERROR(__xludf.DUMMYFUNCTION("""COMPUTED_VALUE"""),"135 руб")</f>
        <v>135 руб</v>
      </c>
      <c r="F47" s="10" t="str">
        <f>IFERROR(__xludf.DUMMYFUNCTION("""COMPUTED_VALUE"""),"115 руб")</f>
        <v>115 руб</v>
      </c>
      <c r="G47" s="10" t="str">
        <f>IFERROR(__xludf.DUMMYFUNCTION("""COMPUTED_VALUE"""),"не делаем")</f>
        <v>не делаем</v>
      </c>
      <c r="H47" s="10" t="str">
        <f>IFERROR(__xludf.DUMMYFUNCTION("""COMPUTED_VALUE"""),"не делаем")</f>
        <v>не делаем</v>
      </c>
    </row>
    <row r="48">
      <c r="A48" s="8" t="str">
        <f>IFERROR(__xludf.DUMMYFUNCTION("""COMPUTED_VALUE"""),"ПКМ - 02ПО (офсет)")</f>
        <v>ПКМ - 02ПО (офсет)</v>
      </c>
      <c r="B48" s="8" t="str">
        <f>IFERROR(__xludf.DUMMYFUNCTION("""COMPUTED_VALUE"""),"Папка-конверт на Zip-lock (240х130 мм) с офсетной полноцветной печатью, ПВХ 250 мкм(белая пленка)")</f>
        <v>Папка-конверт на Zip-lock (240х130 мм) с офсетной полноцветной печатью, ПВХ 250 мкм(белая пленка)</v>
      </c>
      <c r="C48" s="10" t="str">
        <f>IFERROR(__xludf.DUMMYFUNCTION("""COMPUTED_VALUE"""),"не делаем")</f>
        <v>не делаем</v>
      </c>
      <c r="D48" s="10" t="str">
        <f>IFERROR(__xludf.DUMMYFUNCTION("""COMPUTED_VALUE"""),"не делаем")</f>
        <v>не делаем</v>
      </c>
      <c r="E48" s="10" t="str">
        <f>IFERROR(__xludf.DUMMYFUNCTION("""COMPUTED_VALUE"""),"не делаем")</f>
        <v>не делаем</v>
      </c>
      <c r="F48" s="10" t="str">
        <f>IFERROR(__xludf.DUMMYFUNCTION("""COMPUTED_VALUE"""),"не делаем")</f>
        <v>не делаем</v>
      </c>
      <c r="G48" s="18" t="str">
        <f>IFERROR(__xludf.DUMMYFUNCTION("""COMPUTED_VALUE"""),"не делаем")</f>
        <v>не делаем</v>
      </c>
      <c r="H48" s="18" t="str">
        <f>IFERROR(__xludf.DUMMYFUNCTION("""COMPUTED_VALUE"""),"55 руб")</f>
        <v>55 руб</v>
      </c>
    </row>
    <row r="49">
      <c r="A49" s="8" t="str">
        <f>IFERROR(__xludf.DUMMYFUNCTION("""COMPUTED_VALUE"""),"ПКМ - 02ПЦ (цифра)")</f>
        <v>ПКМ - 02ПЦ (цифра)</v>
      </c>
      <c r="B49" s="8" t="str">
        <f>IFERROR(__xludf.DUMMYFUNCTION("""COMPUTED_VALUE"""),"Папка-конверт на Zip-lock (240х130 мм) с  цифровой полноцветной печатью, ПВХ 250 мкм")</f>
        <v>Папка-конверт на Zip-lock (240х130 мм) с  цифровой полноцветной печатью, ПВХ 250 мкм</v>
      </c>
      <c r="C49" s="10" t="str">
        <f>IFERROR(__xludf.DUMMYFUNCTION("""COMPUTED_VALUE"""),"-")</f>
        <v>-</v>
      </c>
      <c r="D49" s="10" t="str">
        <f>IFERROR(__xludf.DUMMYFUNCTION("""COMPUTED_VALUE"""),"135 руб")</f>
        <v>135 руб</v>
      </c>
      <c r="E49" s="10" t="str">
        <f>IFERROR(__xludf.DUMMYFUNCTION("""COMPUTED_VALUE"""),"115 руб")</f>
        <v>115 руб</v>
      </c>
      <c r="F49" s="10" t="str">
        <f>IFERROR(__xludf.DUMMYFUNCTION("""COMPUTED_VALUE"""),"85 руб")</f>
        <v>85 руб</v>
      </c>
      <c r="G49" s="18" t="str">
        <f>IFERROR(__xludf.DUMMYFUNCTION("""COMPUTED_VALUE"""),"70 руб")</f>
        <v>70 руб</v>
      </c>
      <c r="H49" s="18" t="str">
        <f>IFERROR(__xludf.DUMMYFUNCTION("""COMPUTED_VALUE"""),"не делаем")</f>
        <v>не делаем</v>
      </c>
    </row>
    <row r="50">
      <c r="A50" s="8" t="str">
        <f>IFERROR(__xludf.DUMMYFUNCTION("""COMPUTED_VALUE"""),"ПКМ - 03ПО (офсет)")</f>
        <v>ПКМ - 03ПО (офсет)</v>
      </c>
      <c r="B50" s="8" t="str">
        <f>IFERROR(__xludf.DUMMYFUNCTION("""COMPUTED_VALUE"""),"Папка-конверт на Zip-lock (245х160 мм, формат А5) с полноцветной печатью, ПВХ 250 мкм")</f>
        <v>Папка-конверт на Zip-lock (245х160 мм, формат А5) с полноцветной печатью, ПВХ 250 мкм</v>
      </c>
      <c r="C50" s="10" t="str">
        <f>IFERROR(__xludf.DUMMYFUNCTION("""COMPUTED_VALUE"""),"не делаем")</f>
        <v>не делаем</v>
      </c>
      <c r="D50" s="10" t="str">
        <f>IFERROR(__xludf.DUMMYFUNCTION("""COMPUTED_VALUE"""),"не делаем")</f>
        <v>не делаем</v>
      </c>
      <c r="E50" s="10" t="str">
        <f>IFERROR(__xludf.DUMMYFUNCTION("""COMPUTED_VALUE"""),"не делаем")</f>
        <v>не делаем</v>
      </c>
      <c r="F50" s="10" t="str">
        <f>IFERROR(__xludf.DUMMYFUNCTION("""COMPUTED_VALUE"""),"не делаем")</f>
        <v>не делаем</v>
      </c>
      <c r="G50" s="18" t="str">
        <f>IFERROR(__xludf.DUMMYFUNCTION("""COMPUTED_VALUE"""),"не делаем")</f>
        <v>не делаем</v>
      </c>
      <c r="H50" s="18" t="str">
        <f>IFERROR(__xludf.DUMMYFUNCTION("""COMPUTED_VALUE"""),"58 руб")</f>
        <v>58 руб</v>
      </c>
    </row>
    <row r="51">
      <c r="A51" s="8" t="str">
        <f>IFERROR(__xludf.DUMMYFUNCTION("""COMPUTED_VALUE"""),"ПКМ - 03ПЦ (цифра)")</f>
        <v>ПКМ - 03ПЦ (цифра)</v>
      </c>
      <c r="B51" s="8" t="str">
        <f>IFERROR(__xludf.DUMMYFUNCTION("""COMPUTED_VALUE"""),"Папка-конверт на Zip-lock (245х160 мм, формат А5) с цифровой полноцветной печатью, ПВХ 250 мкм")</f>
        <v>Папка-конверт на Zip-lock (245х160 мм, формат А5) с цифровой полноцветной печатью, ПВХ 250 мкм</v>
      </c>
      <c r="C51" s="10" t="str">
        <f>IFERROR(__xludf.DUMMYFUNCTION("""COMPUTED_VALUE"""),"-")</f>
        <v>-</v>
      </c>
      <c r="D51" s="10" t="str">
        <f>IFERROR(__xludf.DUMMYFUNCTION("""COMPUTED_VALUE"""),"140 руб")</f>
        <v>140 руб</v>
      </c>
      <c r="E51" s="10" t="str">
        <f>IFERROR(__xludf.DUMMYFUNCTION("""COMPUTED_VALUE"""),"120 руб")</f>
        <v>120 руб</v>
      </c>
      <c r="F51" s="10" t="str">
        <f>IFERROR(__xludf.DUMMYFUNCTION("""COMPUTED_VALUE"""),"90 руб")</f>
        <v>90 руб</v>
      </c>
      <c r="G51" s="10" t="str">
        <f>IFERROR(__xludf.DUMMYFUNCTION("""COMPUTED_VALUE"""),"75 руб")</f>
        <v>75 руб</v>
      </c>
      <c r="H51" s="10" t="str">
        <f>IFERROR(__xludf.DUMMYFUNCTION("""COMPUTED_VALUE"""),"не делаем")</f>
        <v>не делаем</v>
      </c>
    </row>
    <row r="52">
      <c r="A52" s="13" t="str">
        <f>IFERROR(__xludf.DUMMYFUNCTION("""COMPUTED_VALUE"""),"Папка-планшет")</f>
        <v>Папка-планшет</v>
      </c>
      <c r="B52" s="13" t="str">
        <f>IFERROR(__xludf.DUMMYFUNCTION("""COMPUTED_VALUE"""),"")</f>
        <v/>
      </c>
      <c r="C52" s="13" t="str">
        <f>IFERROR(__xludf.DUMMYFUNCTION("""COMPUTED_VALUE"""),"50 шт")</f>
        <v>50 шт</v>
      </c>
      <c r="D52" s="13" t="str">
        <f>IFERROR(__xludf.DUMMYFUNCTION("""COMPUTED_VALUE"""),"100 шт")</f>
        <v>100 шт</v>
      </c>
      <c r="E52" s="13" t="str">
        <f>IFERROR(__xludf.DUMMYFUNCTION("""COMPUTED_VALUE"""),"200 шт")</f>
        <v>200 шт</v>
      </c>
      <c r="F52" s="13" t="str">
        <f>IFERROR(__xludf.DUMMYFUNCTION("""COMPUTED_VALUE"""),"300 шт")</f>
        <v>300 шт</v>
      </c>
      <c r="G52" s="13" t="str">
        <f>IFERROR(__xludf.DUMMYFUNCTION("""COMPUTED_VALUE"""),"500 шт")</f>
        <v>500 шт</v>
      </c>
      <c r="H52" s="13" t="str">
        <f>IFERROR(__xludf.DUMMYFUNCTION("""COMPUTED_VALUE"""),"1000 шт")</f>
        <v>1000 шт</v>
      </c>
    </row>
    <row r="53">
      <c r="A53" s="8" t="str">
        <f>IFERROR(__xludf.DUMMYFUNCTION("""COMPUTED_VALUE"""),"ППЛ-1О (офсет)")</f>
        <v>ППЛ-1О (офсет)</v>
      </c>
      <c r="B53" s="8" t="str">
        <f>IFERROR(__xludf.DUMMYFUNCTION("""COMPUTED_VALUE"""),"Папка-планшет с офсетной полноцветной печатью, картон/пвх, 230х318х2.7 мм.")</f>
        <v>Папка-планшет с офсетной полноцветной печатью, картон/пвх, 230х318х2.7 мм.</v>
      </c>
      <c r="C53" s="10" t="str">
        <f>IFERROR(__xludf.DUMMYFUNCTION("""COMPUTED_VALUE"""),"не делаем")</f>
        <v>не делаем</v>
      </c>
      <c r="D53" s="10" t="str">
        <f>IFERROR(__xludf.DUMMYFUNCTION("""COMPUTED_VALUE"""),"не делаем")</f>
        <v>не делаем</v>
      </c>
      <c r="E53" s="10" t="str">
        <f>IFERROR(__xludf.DUMMYFUNCTION("""COMPUTED_VALUE"""),"не делаем")</f>
        <v>не делаем</v>
      </c>
      <c r="F53" s="10" t="str">
        <f>IFERROR(__xludf.DUMMYFUNCTION("""COMPUTED_VALUE"""),"не делаем")</f>
        <v>не делаем</v>
      </c>
      <c r="G53" s="10" t="str">
        <f>IFERROR(__xludf.DUMMYFUNCTION("""COMPUTED_VALUE"""),"150 руб")</f>
        <v>150 руб</v>
      </c>
      <c r="H53" s="10" t="str">
        <f>IFERROR(__xludf.DUMMYFUNCTION("""COMPUTED_VALUE"""),"135 руб")</f>
        <v>135 руб</v>
      </c>
    </row>
    <row r="54">
      <c r="A54" s="8" t="str">
        <f>IFERROR(__xludf.DUMMYFUNCTION("""COMPUTED_VALUE"""),"ППЛ-1Ц (цифра)")</f>
        <v>ППЛ-1Ц (цифра)</v>
      </c>
      <c r="B54" s="8" t="str">
        <f>IFERROR(__xludf.DUMMYFUNCTION("""COMPUTED_VALUE"""),"Папка-планшет с цифровой полноцветной печатью, картон/пвх, 230х318х2.7 мм.")</f>
        <v>Папка-планшет с цифровой полноцветной печатью, картон/пвх, 230х318х2.7 мм.</v>
      </c>
      <c r="C54" s="10" t="str">
        <f>IFERROR(__xludf.DUMMYFUNCTION("""COMPUTED_VALUE"""),"-")</f>
        <v>-</v>
      </c>
      <c r="D54" s="10" t="str">
        <f>IFERROR(__xludf.DUMMYFUNCTION("""COMPUTED_VALUE"""),"250 руб")</f>
        <v>250 руб</v>
      </c>
      <c r="E54" s="10" t="str">
        <f>IFERROR(__xludf.DUMMYFUNCTION("""COMPUTED_VALUE"""),"210 руб")</f>
        <v>210 руб</v>
      </c>
      <c r="F54" s="10" t="str">
        <f>IFERROR(__xludf.DUMMYFUNCTION("""COMPUTED_VALUE"""),"180 руб")</f>
        <v>180 руб</v>
      </c>
      <c r="G54" s="10" t="str">
        <f>IFERROR(__xludf.DUMMYFUNCTION("""COMPUTED_VALUE"""),"не делаем")</f>
        <v>не делаем</v>
      </c>
      <c r="H54" s="10" t="str">
        <f>IFERROR(__xludf.DUMMYFUNCTION("""COMPUTED_VALUE"""),"не делаем")</f>
        <v>не делаем</v>
      </c>
    </row>
    <row r="55">
      <c r="A55" s="8" t="str">
        <f>IFERROR(__xludf.DUMMYFUNCTION("""COMPUTED_VALUE"""),"ППЛ-2О (офсет)")</f>
        <v>ППЛ-2О (офсет)</v>
      </c>
      <c r="B55" s="8" t="str">
        <f>IFERROR(__xludf.DUMMYFUNCTION("""COMPUTED_VALUE"""),"Папка-планшет с крышкой, офсетная полноцветная печать, картон/пвх, 230х318х2.7 мм.")</f>
        <v>Папка-планшет с крышкой, офсетная полноцветная печать, картон/пвх, 230х318х2.7 мм.</v>
      </c>
      <c r="C55" s="10" t="str">
        <f>IFERROR(__xludf.DUMMYFUNCTION("""COMPUTED_VALUE"""),"не делаем")</f>
        <v>не делаем</v>
      </c>
      <c r="D55" s="10" t="str">
        <f>IFERROR(__xludf.DUMMYFUNCTION("""COMPUTED_VALUE"""),"не делаем")</f>
        <v>не делаем</v>
      </c>
      <c r="E55" s="10" t="str">
        <f>IFERROR(__xludf.DUMMYFUNCTION("""COMPUTED_VALUE"""),"не делаем")</f>
        <v>не делаем</v>
      </c>
      <c r="F55" s="10" t="str">
        <f>IFERROR(__xludf.DUMMYFUNCTION("""COMPUTED_VALUE"""),"не делаем")</f>
        <v>не делаем</v>
      </c>
      <c r="G55" s="10" t="str">
        <f>IFERROR(__xludf.DUMMYFUNCTION("""COMPUTED_VALUE"""),"195 руб")</f>
        <v>195 руб</v>
      </c>
      <c r="H55" s="10" t="str">
        <f>IFERROR(__xludf.DUMMYFUNCTION("""COMPUTED_VALUE"""),"180 руб")</f>
        <v>180 руб</v>
      </c>
    </row>
    <row r="56">
      <c r="A56" s="8" t="str">
        <f>IFERROR(__xludf.DUMMYFUNCTION("""COMPUTED_VALUE"""),"ППЛ-2Ц (цифра)")</f>
        <v>ППЛ-2Ц (цифра)</v>
      </c>
      <c r="B56" s="8" t="str">
        <f>IFERROR(__xludf.DUMMYFUNCTION("""COMPUTED_VALUE"""),"Папка-планшет с крышкой, цифровая полноцветная печать, картон/пвх, 230х318х2.7 мм.")</f>
        <v>Папка-планшет с крышкой, цифровая полноцветная печать, картон/пвх, 230х318х2.7 мм.</v>
      </c>
      <c r="C56" s="10" t="str">
        <f>IFERROR(__xludf.DUMMYFUNCTION("""COMPUTED_VALUE"""),"-")</f>
        <v>-</v>
      </c>
      <c r="D56" s="10" t="str">
        <f>IFERROR(__xludf.DUMMYFUNCTION("""COMPUTED_VALUE"""),"320 руб")</f>
        <v>320 руб</v>
      </c>
      <c r="E56" s="10" t="str">
        <f>IFERROR(__xludf.DUMMYFUNCTION("""COMPUTED_VALUE"""),"280 руб")</f>
        <v>280 руб</v>
      </c>
      <c r="F56" s="10" t="str">
        <f>IFERROR(__xludf.DUMMYFUNCTION("""COMPUTED_VALUE"""),"240 руб")</f>
        <v>240 руб</v>
      </c>
      <c r="G56" s="10" t="str">
        <f>IFERROR(__xludf.DUMMYFUNCTION("""COMPUTED_VALUE"""),"не делаем")</f>
        <v>не делаем</v>
      </c>
      <c r="H56" s="10" t="str">
        <f>IFERROR(__xludf.DUMMYFUNCTION("""COMPUTED_VALUE"""),"не делаем")</f>
        <v>не делаем</v>
      </c>
    </row>
    <row r="57">
      <c r="A57" s="13" t="str">
        <f>IFERROR(__xludf.DUMMYFUNCTION("""COMPUTED_VALUE"""),"Турконверт")</f>
        <v>Турконверт</v>
      </c>
      <c r="B57" s="13" t="str">
        <f>IFERROR(__xludf.DUMMYFUNCTION("""COMPUTED_VALUE"""),"")</f>
        <v/>
      </c>
      <c r="C57" s="13" t="str">
        <f>IFERROR(__xludf.DUMMYFUNCTION("""COMPUTED_VALUE"""),"50 шт")</f>
        <v>50 шт</v>
      </c>
      <c r="D57" s="13" t="str">
        <f>IFERROR(__xludf.DUMMYFUNCTION("""COMPUTED_VALUE"""),"100 шт")</f>
        <v>100 шт</v>
      </c>
      <c r="E57" s="13" t="str">
        <f>IFERROR(__xludf.DUMMYFUNCTION("""COMPUTED_VALUE"""),"200 шт")</f>
        <v>200 шт</v>
      </c>
      <c r="F57" s="13" t="str">
        <f>IFERROR(__xludf.DUMMYFUNCTION("""COMPUTED_VALUE"""),"300 шт")</f>
        <v>300 шт</v>
      </c>
      <c r="G57" s="13" t="str">
        <f>IFERROR(__xludf.DUMMYFUNCTION("""COMPUTED_VALUE"""),"500 шт")</f>
        <v>500 шт</v>
      </c>
      <c r="H57" s="13" t="str">
        <f>IFERROR(__xludf.DUMMYFUNCTION("""COMPUTED_VALUE"""),"1000 шт")</f>
        <v>1000 шт</v>
      </c>
    </row>
    <row r="58">
      <c r="A58" s="8" t="str">
        <f>IFERROR(__xludf.DUMMYFUNCTION("""COMPUTED_VALUE"""),"ТК-1О (офсет)")</f>
        <v>ТК-1О (офсет)</v>
      </c>
      <c r="B58" s="8" t="str">
        <f>IFERROR(__xludf.DUMMYFUNCTION("""COMPUTED_VALUE"""),"Турконверт (235х115) мягкий пластик, офсетная полноцветная печать, 250 мкм  ")</f>
        <v>Турконверт (235х115) мягкий пластик, офсетная полноцветная печать, 250 мкм  </v>
      </c>
      <c r="C58" s="10" t="str">
        <f>IFERROR(__xludf.DUMMYFUNCTION("""COMPUTED_VALUE"""),"не делаем")</f>
        <v>не делаем</v>
      </c>
      <c r="D58" s="10" t="str">
        <f>IFERROR(__xludf.DUMMYFUNCTION("""COMPUTED_VALUE"""),"не делаем")</f>
        <v>не делаем</v>
      </c>
      <c r="E58" s="10" t="str">
        <f>IFERROR(__xludf.DUMMYFUNCTION("""COMPUTED_VALUE"""),"не делаем")</f>
        <v>не делаем</v>
      </c>
      <c r="F58" s="10" t="str">
        <f>IFERROR(__xludf.DUMMYFUNCTION("""COMPUTED_VALUE"""),"не делаем")</f>
        <v>не делаем</v>
      </c>
      <c r="G58" s="18" t="str">
        <f>IFERROR(__xludf.DUMMYFUNCTION("""COMPUTED_VALUE"""),"не делаем")</f>
        <v>не делаем</v>
      </c>
      <c r="H58" s="18" t="str">
        <f>IFERROR(__xludf.DUMMYFUNCTION("""COMPUTED_VALUE"""),"55 руб")</f>
        <v>55 руб</v>
      </c>
    </row>
    <row r="59">
      <c r="A59" s="8" t="str">
        <f>IFERROR(__xludf.DUMMYFUNCTION("""COMPUTED_VALUE"""),"ТК-1Ц (цифра)")</f>
        <v>ТК-1Ц (цифра)</v>
      </c>
      <c r="B59" s="8" t="str">
        <f>IFERROR(__xludf.DUMMYFUNCTION("""COMPUTED_VALUE"""),"Турконверт (235х115) мягкий пластик, цифровая полноцветная печать, 250 мкм ")</f>
        <v>Турконверт (235х115) мягкий пластик, цифровая полноцветная печать, 250 мкм </v>
      </c>
      <c r="C59" s="10" t="str">
        <f>IFERROR(__xludf.DUMMYFUNCTION("""COMPUTED_VALUE"""),"-")</f>
        <v>-</v>
      </c>
      <c r="D59" s="10" t="str">
        <f>IFERROR(__xludf.DUMMYFUNCTION("""COMPUTED_VALUE"""),"105 руб")</f>
        <v>105 руб</v>
      </c>
      <c r="E59" s="10" t="str">
        <f>IFERROR(__xludf.DUMMYFUNCTION("""COMPUTED_VALUE"""),"95 руб")</f>
        <v>95 руб</v>
      </c>
      <c r="F59" s="10" t="str">
        <f>IFERROR(__xludf.DUMMYFUNCTION("""COMPUTED_VALUE"""),"85 руб")</f>
        <v>85 руб</v>
      </c>
      <c r="G59" s="18" t="str">
        <f>IFERROR(__xludf.DUMMYFUNCTION("""COMPUTED_VALUE"""),"70 руб")</f>
        <v>70 руб</v>
      </c>
      <c r="H59" s="18" t="str">
        <f>IFERROR(__xludf.DUMMYFUNCTION("""COMPUTED_VALUE"""),"не делаем")</f>
        <v>не делаем</v>
      </c>
    </row>
    <row r="60">
      <c r="A60" s="8" t="str">
        <f>IFERROR(__xludf.DUMMYFUNCTION("""COMPUTED_VALUE"""),"ТК-2О (офсет)")</f>
        <v>ТК-2О (офсет)</v>
      </c>
      <c r="B60" s="8" t="str">
        <f>IFERROR(__xludf.DUMMYFUNCTION("""COMPUTED_VALUE"""),"Турконверт (235х130) мягкий пластик, офсетная полноцветная печать, 250 мкм ")</f>
        <v>Турконверт (235х130) мягкий пластик, офсетная полноцветная печать, 250 мкм </v>
      </c>
      <c r="C60" s="10" t="str">
        <f>IFERROR(__xludf.DUMMYFUNCTION("""COMPUTED_VALUE"""),"не делаем")</f>
        <v>не делаем</v>
      </c>
      <c r="D60" s="10" t="str">
        <f>IFERROR(__xludf.DUMMYFUNCTION("""COMPUTED_VALUE"""),"не делаем")</f>
        <v>не делаем</v>
      </c>
      <c r="E60" s="10" t="str">
        <f>IFERROR(__xludf.DUMMYFUNCTION("""COMPUTED_VALUE"""),"не делаем")</f>
        <v>не делаем</v>
      </c>
      <c r="F60" s="10" t="str">
        <f>IFERROR(__xludf.DUMMYFUNCTION("""COMPUTED_VALUE"""),"не делаем")</f>
        <v>не делаем</v>
      </c>
      <c r="G60" s="18" t="str">
        <f>IFERROR(__xludf.DUMMYFUNCTION("""COMPUTED_VALUE"""),"не делаем")</f>
        <v>не делаем</v>
      </c>
      <c r="H60" s="18" t="str">
        <f>IFERROR(__xludf.DUMMYFUNCTION("""COMPUTED_VALUE"""),"55 руб")</f>
        <v>55 руб</v>
      </c>
    </row>
    <row r="61">
      <c r="A61" s="8" t="str">
        <f>IFERROR(__xludf.DUMMYFUNCTION("""COMPUTED_VALUE"""),"ТК-2Ц (цифра)")</f>
        <v>ТК-2Ц (цифра)</v>
      </c>
      <c r="B61" s="8" t="str">
        <f>IFERROR(__xludf.DUMMYFUNCTION("""COMPUTED_VALUE"""),"Турконверт (235х130) мягкий пластик, цифровая полноцветная печать, 250 мкм ")</f>
        <v>Турконверт (235х130) мягкий пластик, цифровая полноцветная печать, 250 мкм </v>
      </c>
      <c r="C61" s="10" t="str">
        <f>IFERROR(__xludf.DUMMYFUNCTION("""COMPUTED_VALUE"""),"-")</f>
        <v>-</v>
      </c>
      <c r="D61" s="10" t="str">
        <f>IFERROR(__xludf.DUMMYFUNCTION("""COMPUTED_VALUE"""),"105 руб")</f>
        <v>105 руб</v>
      </c>
      <c r="E61" s="10" t="str">
        <f>IFERROR(__xludf.DUMMYFUNCTION("""COMPUTED_VALUE"""),"95 руб")</f>
        <v>95 руб</v>
      </c>
      <c r="F61" s="10" t="str">
        <f>IFERROR(__xludf.DUMMYFUNCTION("""COMPUTED_VALUE"""),"85 руб")</f>
        <v>85 руб</v>
      </c>
      <c r="G61" s="18" t="str">
        <f>IFERROR(__xludf.DUMMYFUNCTION("""COMPUTED_VALUE"""),"70 руб")</f>
        <v>70 руб</v>
      </c>
      <c r="H61" s="18" t="str">
        <f>IFERROR(__xludf.DUMMYFUNCTION("""COMPUTED_VALUE"""),"не делаем")</f>
        <v>не делаем</v>
      </c>
    </row>
    <row r="62">
      <c r="A62" s="13" t="str">
        <f>IFERROR(__xludf.DUMMYFUNCTION("""COMPUTED_VALUE"""),"Обложка для паспорта")</f>
        <v>Обложка для паспорта</v>
      </c>
      <c r="B62" s="13" t="str">
        <f>IFERROR(__xludf.DUMMYFUNCTION("""COMPUTED_VALUE"""),"")</f>
        <v/>
      </c>
      <c r="C62" s="13" t="str">
        <f>IFERROR(__xludf.DUMMYFUNCTION("""COMPUTED_VALUE"""),"50 шт")</f>
        <v>50 шт</v>
      </c>
      <c r="D62" s="13" t="str">
        <f>IFERROR(__xludf.DUMMYFUNCTION("""COMPUTED_VALUE"""),"100 шт")</f>
        <v>100 шт</v>
      </c>
      <c r="E62" s="13" t="str">
        <f>IFERROR(__xludf.DUMMYFUNCTION("""COMPUTED_VALUE"""),"200 шт")</f>
        <v>200 шт</v>
      </c>
      <c r="F62" s="13" t="str">
        <f>IFERROR(__xludf.DUMMYFUNCTION("""COMPUTED_VALUE"""),"300 шт")</f>
        <v>300 шт</v>
      </c>
      <c r="G62" s="13" t="str">
        <f>IFERROR(__xludf.DUMMYFUNCTION("""COMPUTED_VALUE"""),"500 шт")</f>
        <v>500 шт</v>
      </c>
      <c r="H62" s="13" t="str">
        <f>IFERROR(__xludf.DUMMYFUNCTION("""COMPUTED_VALUE"""),"1000 шт")</f>
        <v>1000 шт</v>
      </c>
    </row>
    <row r="63">
      <c r="A63" s="8" t="str">
        <f>IFERROR(__xludf.DUMMYFUNCTION("""COMPUTED_VALUE"""),"ОП -1О (офсет)")</f>
        <v>ОП -1О (офсет)</v>
      </c>
      <c r="B63" s="8" t="str">
        <f>IFERROR(__xludf.DUMMYFUNCTION("""COMPUTED_VALUE"""),"Обложка на паспорт (94х131), мягкий пластик, офсетная полноцветная печать, 300 мкм")</f>
        <v>Обложка на паспорт (94х131), мягкий пластик, офсетная полноцветная печать, 300 мкм</v>
      </c>
      <c r="C63" s="10" t="str">
        <f>IFERROR(__xludf.DUMMYFUNCTION("""COMPUTED_VALUE"""),"не делаем")</f>
        <v>не делаем</v>
      </c>
      <c r="D63" s="10" t="str">
        <f>IFERROR(__xludf.DUMMYFUNCTION("""COMPUTED_VALUE"""),"не делаем")</f>
        <v>не делаем</v>
      </c>
      <c r="E63" s="10" t="str">
        <f>IFERROR(__xludf.DUMMYFUNCTION("""COMPUTED_VALUE"""),"не делаем")</f>
        <v>не делаем</v>
      </c>
      <c r="F63" s="10" t="str">
        <f>IFERROR(__xludf.DUMMYFUNCTION("""COMPUTED_VALUE"""),"не делаем")</f>
        <v>не делаем</v>
      </c>
      <c r="G63" s="18" t="str">
        <f>IFERROR(__xludf.DUMMYFUNCTION("""COMPUTED_VALUE"""),"не делаем")</f>
        <v>не делаем</v>
      </c>
      <c r="H63" s="18" t="str">
        <f>IFERROR(__xludf.DUMMYFUNCTION("""COMPUTED_VALUE"""),"не делаем")</f>
        <v>не делаем</v>
      </c>
    </row>
    <row r="64">
      <c r="A64" s="8" t="str">
        <f>IFERROR(__xludf.DUMMYFUNCTION("""COMPUTED_VALUE"""),"ОП -1Ц (цифра)")</f>
        <v>ОП -1Ц (цифра)</v>
      </c>
      <c r="B64" s="8" t="str">
        <f>IFERROR(__xludf.DUMMYFUNCTION("""COMPUTED_VALUE"""),"Обложка на паспорт (94х131), мягкий пластик, цифровая полноцветная печать, 300 мкм")</f>
        <v>Обложка на паспорт (94х131), мягкий пластик, цифровая полноцветная печать, 300 мкм</v>
      </c>
      <c r="C64" s="10" t="str">
        <f>IFERROR(__xludf.DUMMYFUNCTION("""COMPUTED_VALUE"""),"-")</f>
        <v>-</v>
      </c>
      <c r="D64" s="10" t="str">
        <f>IFERROR(__xludf.DUMMYFUNCTION("""COMPUTED_VALUE"""),"90 руб")</f>
        <v>90 руб</v>
      </c>
      <c r="E64" s="10" t="str">
        <f>IFERROR(__xludf.DUMMYFUNCTION("""COMPUTED_VALUE"""),"80 руб")</f>
        <v>80 руб</v>
      </c>
      <c r="F64" s="10" t="str">
        <f>IFERROR(__xludf.DUMMYFUNCTION("""COMPUTED_VALUE"""),"70 руб")</f>
        <v>70 руб</v>
      </c>
      <c r="G64" s="18" t="str">
        <f>IFERROR(__xludf.DUMMYFUNCTION("""COMPUTED_VALUE"""),"60 руб")</f>
        <v>60 руб</v>
      </c>
      <c r="H64" s="18" t="str">
        <f>IFERROR(__xludf.DUMMYFUNCTION("""COMPUTED_VALUE"""),"48 руб")</f>
        <v>48 руб</v>
      </c>
    </row>
    <row r="65">
      <c r="A65" s="8" t="str">
        <f>IFERROR(__xludf.DUMMYFUNCTION("""COMPUTED_VALUE"""),"ОП -2О (офсет)")</f>
        <v>ОП -2О (офсет)</v>
      </c>
      <c r="B65" s="8" t="str">
        <f>IFERROR(__xludf.DUMMYFUNCTION("""COMPUTED_VALUE"""),"Обложка на паспорт (94х131), мягкий пластик, офсетная полноцветная печать, 500 мкм")</f>
        <v>Обложка на паспорт (94х131), мягкий пластик, офсетная полноцветная печать, 500 мкм</v>
      </c>
      <c r="C65" s="10" t="str">
        <f>IFERROR(__xludf.DUMMYFUNCTION("""COMPUTED_VALUE"""),"не делаем")</f>
        <v>не делаем</v>
      </c>
      <c r="D65" s="10" t="str">
        <f>IFERROR(__xludf.DUMMYFUNCTION("""COMPUTED_VALUE"""),"не делаем")</f>
        <v>не делаем</v>
      </c>
      <c r="E65" s="10" t="str">
        <f>IFERROR(__xludf.DUMMYFUNCTION("""COMPUTED_VALUE"""),"не делаем")</f>
        <v>не делаем</v>
      </c>
      <c r="F65" s="10" t="str">
        <f>IFERROR(__xludf.DUMMYFUNCTION("""COMPUTED_VALUE"""),"не делаем")</f>
        <v>не делаем</v>
      </c>
      <c r="G65" s="18" t="str">
        <f>IFERROR(__xludf.DUMMYFUNCTION("""COMPUTED_VALUE"""),"не делаем")</f>
        <v>не делаем</v>
      </c>
      <c r="H65" s="18" t="str">
        <f>IFERROR(__xludf.DUMMYFUNCTION("""COMPUTED_VALUE"""),"не делаем")</f>
        <v>не делаем</v>
      </c>
    </row>
    <row r="66">
      <c r="A66" s="8" t="str">
        <f>IFERROR(__xludf.DUMMYFUNCTION("""COMPUTED_VALUE"""),"ОП -2Ц (цифра)")</f>
        <v>ОП -2Ц (цифра)</v>
      </c>
      <c r="B66" s="8" t="str">
        <f>IFERROR(__xludf.DUMMYFUNCTION("""COMPUTED_VALUE"""),"Обложка на паспорт (94х131), мягкий пластик, цифровая полноцветная печать, 500 мкм")</f>
        <v>Обложка на паспорт (94х131), мягкий пластик, цифровая полноцветная печать, 500 мкм</v>
      </c>
      <c r="C66" s="10" t="str">
        <f>IFERROR(__xludf.DUMMYFUNCTION("""COMPUTED_VALUE"""),"-")</f>
        <v>-</v>
      </c>
      <c r="D66" s="10" t="str">
        <f>IFERROR(__xludf.DUMMYFUNCTION("""COMPUTED_VALUE"""),"115 руб")</f>
        <v>115 руб</v>
      </c>
      <c r="E66" s="10" t="str">
        <f>IFERROR(__xludf.DUMMYFUNCTION("""COMPUTED_VALUE"""),"95 руб")</f>
        <v>95 руб</v>
      </c>
      <c r="F66" s="10" t="str">
        <f>IFERROR(__xludf.DUMMYFUNCTION("""COMPUTED_VALUE"""),"85 руб")</f>
        <v>85 руб</v>
      </c>
      <c r="G66" s="18" t="str">
        <f>IFERROR(__xludf.DUMMYFUNCTION("""COMPUTED_VALUE"""),"75 руб")</f>
        <v>75 руб</v>
      </c>
      <c r="H66" s="18" t="str">
        <f>IFERROR(__xludf.DUMMYFUNCTION("""COMPUTED_VALUE"""),"58 руб")</f>
        <v>58 руб</v>
      </c>
    </row>
    <row r="67">
      <c r="A67" s="52" t="str">
        <f>IFERROR(__xludf.DUMMYFUNCTION("""COMPUTED_VALUE"""),"")</f>
        <v/>
      </c>
      <c r="B67" s="15" t="str">
        <f>IFERROR(__xludf.DUMMYFUNCTION("""COMPUTED_VALUE"""),"")</f>
        <v/>
      </c>
      <c r="C67" s="15" t="str">
        <f>IFERROR(__xludf.DUMMYFUNCTION("""COMPUTED_VALUE"""),"50 шт")</f>
        <v>50 шт</v>
      </c>
      <c r="D67" s="15" t="str">
        <f>IFERROR(__xludf.DUMMYFUNCTION("""COMPUTED_VALUE"""),"100 шт")</f>
        <v>100 шт</v>
      </c>
      <c r="E67" s="15" t="str">
        <f>IFERROR(__xludf.DUMMYFUNCTION("""COMPUTED_VALUE"""),"200 шт")</f>
        <v>200 шт</v>
      </c>
      <c r="F67" s="15" t="str">
        <f>IFERROR(__xludf.DUMMYFUNCTION("""COMPUTED_VALUE"""),"300 шт")</f>
        <v>300 шт</v>
      </c>
      <c r="G67" s="15" t="str">
        <f>IFERROR(__xludf.DUMMYFUNCTION("""COMPUTED_VALUE"""),"500 шт")</f>
        <v>500 шт</v>
      </c>
      <c r="H67" s="15" t="str">
        <f>IFERROR(__xludf.DUMMYFUNCTION("""COMPUTED_VALUE"""),"1000 шт")</f>
        <v>1000 шт</v>
      </c>
    </row>
    <row r="68">
      <c r="A68" s="8" t="str">
        <f>IFERROR(__xludf.DUMMYFUNCTION("""COMPUTED_VALUE"""),"ОС -1О (офсет)")</f>
        <v>ОС -1О (офсет)</v>
      </c>
      <c r="B68" s="8" t="str">
        <f>IFERROR(__xludf.DUMMYFUNCTION("""COMPUTED_VALUE"""),"Обложка для студенческого билета (214х75), мягкий пластик, офсетная полноцветная печать, 300мкм")</f>
        <v>Обложка для студенческого билета (214х75), мягкий пластик, офсетная полноцветная печать, 300мкм</v>
      </c>
      <c r="C68" s="10" t="str">
        <f>IFERROR(__xludf.DUMMYFUNCTION("""COMPUTED_VALUE"""),"не делаем")</f>
        <v>не делаем</v>
      </c>
      <c r="D68" s="10" t="str">
        <f>IFERROR(__xludf.DUMMYFUNCTION("""COMPUTED_VALUE"""),"не делаем")</f>
        <v>не делаем</v>
      </c>
      <c r="E68" s="10" t="str">
        <f>IFERROR(__xludf.DUMMYFUNCTION("""COMPUTED_VALUE"""),"не делаем")</f>
        <v>не делаем</v>
      </c>
      <c r="F68" s="10" t="str">
        <f>IFERROR(__xludf.DUMMYFUNCTION("""COMPUTED_VALUE"""),"не делаем")</f>
        <v>не делаем</v>
      </c>
      <c r="G68" s="18" t="str">
        <f>IFERROR(__xludf.DUMMYFUNCTION("""COMPUTED_VALUE"""),"не делаем")</f>
        <v>не делаем</v>
      </c>
      <c r="H68" s="18" t="str">
        <f>IFERROR(__xludf.DUMMYFUNCTION("""COMPUTED_VALUE"""),"не делаем")</f>
        <v>не делаем</v>
      </c>
    </row>
    <row r="69">
      <c r="A69" s="8" t="str">
        <f>IFERROR(__xludf.DUMMYFUNCTION("""COMPUTED_VALUE"""),"ОС -1Ц (цифра)")</f>
        <v>ОС -1Ц (цифра)</v>
      </c>
      <c r="B69" s="8" t="str">
        <f>IFERROR(__xludf.DUMMYFUNCTION("""COMPUTED_VALUE"""),"Обложка для студенческого билета (214х75), мягкий пластик, цифровая полноцветная печать, 300мкм")</f>
        <v>Обложка для студенческого билета (214х75), мягкий пластик, цифровая полноцветная печать, 300мкм</v>
      </c>
      <c r="C69" s="10" t="str">
        <f>IFERROR(__xludf.DUMMYFUNCTION("""COMPUTED_VALUE"""),"-")</f>
        <v>-</v>
      </c>
      <c r="D69" s="10" t="str">
        <f>IFERROR(__xludf.DUMMYFUNCTION("""COMPUTED_VALUE"""),"80 руб")</f>
        <v>80 руб</v>
      </c>
      <c r="E69" s="10" t="str">
        <f>IFERROR(__xludf.DUMMYFUNCTION("""COMPUTED_VALUE"""),"70 руб")</f>
        <v>70 руб</v>
      </c>
      <c r="F69" s="10" t="str">
        <f>IFERROR(__xludf.DUMMYFUNCTION("""COMPUTED_VALUE"""),"60 руб")</f>
        <v>60 руб</v>
      </c>
      <c r="G69" s="18" t="str">
        <f>IFERROR(__xludf.DUMMYFUNCTION("""COMPUTED_VALUE"""),"50 руб")</f>
        <v>50 руб</v>
      </c>
      <c r="H69" s="18" t="str">
        <f>IFERROR(__xludf.DUMMYFUNCTION("""COMPUTED_VALUE"""),"45 руб")</f>
        <v>45 руб</v>
      </c>
    </row>
    <row r="70">
      <c r="A70" s="8" t="str">
        <f>IFERROR(__xludf.DUMMYFUNCTION("""COMPUTED_VALUE"""),"ОС -2О (офсет)")</f>
        <v>ОС -2О (офсет)</v>
      </c>
      <c r="B70" s="8" t="str">
        <f>IFERROR(__xludf.DUMMYFUNCTION("""COMPUTED_VALUE"""),"Обложка для студенческого билета (214х75), мягкий пластик, офсетная полноцветная печать, 500мкм")</f>
        <v>Обложка для студенческого билета (214х75), мягкий пластик, офсетная полноцветная печать, 500мкм</v>
      </c>
      <c r="C70" s="10" t="str">
        <f>IFERROR(__xludf.DUMMYFUNCTION("""COMPUTED_VALUE"""),"не делаем")</f>
        <v>не делаем</v>
      </c>
      <c r="D70" s="10" t="str">
        <f>IFERROR(__xludf.DUMMYFUNCTION("""COMPUTED_VALUE"""),"не делаем")</f>
        <v>не делаем</v>
      </c>
      <c r="E70" s="10" t="str">
        <f>IFERROR(__xludf.DUMMYFUNCTION("""COMPUTED_VALUE"""),"не делаем")</f>
        <v>не делаем</v>
      </c>
      <c r="F70" s="10" t="str">
        <f>IFERROR(__xludf.DUMMYFUNCTION("""COMPUTED_VALUE"""),"не делаем")</f>
        <v>не делаем</v>
      </c>
      <c r="G70" s="18" t="str">
        <f>IFERROR(__xludf.DUMMYFUNCTION("""COMPUTED_VALUE"""),"не делаем")</f>
        <v>не делаем</v>
      </c>
      <c r="H70" s="18" t="str">
        <f>IFERROR(__xludf.DUMMYFUNCTION("""COMPUTED_VALUE"""),"не делаем")</f>
        <v>не делаем</v>
      </c>
    </row>
    <row r="71">
      <c r="A71" s="8" t="str">
        <f>IFERROR(__xludf.DUMMYFUNCTION("""COMPUTED_VALUE"""),"ОС -2Ц (цифра)")</f>
        <v>ОС -2Ц (цифра)</v>
      </c>
      <c r="B71" s="8" t="str">
        <f>IFERROR(__xludf.DUMMYFUNCTION("""COMPUTED_VALUE"""),"Обложка для студенческого билета (214х75), мягкий пластик, цифровая полноцветная печать, 500мкм")</f>
        <v>Обложка для студенческого билета (214х75), мягкий пластик, цифровая полноцветная печать, 500мкм</v>
      </c>
      <c r="C71" s="10" t="str">
        <f>IFERROR(__xludf.DUMMYFUNCTION("""COMPUTED_VALUE"""),"-")</f>
        <v>-</v>
      </c>
      <c r="D71" s="10" t="str">
        <f>IFERROR(__xludf.DUMMYFUNCTION("""COMPUTED_VALUE"""),"95 руб")</f>
        <v>95 руб</v>
      </c>
      <c r="E71" s="10" t="str">
        <f>IFERROR(__xludf.DUMMYFUNCTION("""COMPUTED_VALUE"""),"85 руб")</f>
        <v>85 руб</v>
      </c>
      <c r="F71" s="10" t="str">
        <f>IFERROR(__xludf.DUMMYFUNCTION("""COMPUTED_VALUE"""),"75 руб")</f>
        <v>75 руб</v>
      </c>
      <c r="G71" s="18" t="str">
        <f>IFERROR(__xludf.DUMMYFUNCTION("""COMPUTED_VALUE"""),"65 руб")</f>
        <v>65 руб</v>
      </c>
      <c r="H71" s="18" t="str">
        <f>IFERROR(__xludf.DUMMYFUNCTION("""COMPUTED_VALUE"""),"55 руб")</f>
        <v>55 руб</v>
      </c>
    </row>
    <row r="72">
      <c r="A72" s="28" t="str">
        <f>IFERROR(__xludf.DUMMYFUNCTION("""COMPUTED_VALUE"""),"")</f>
        <v/>
      </c>
      <c r="B72" s="28" t="str">
        <f>IFERROR(__xludf.DUMMYFUNCTION("""COMPUTED_VALUE"""),"")</f>
        <v/>
      </c>
      <c r="C72" s="28" t="str">
        <f>IFERROR(__xludf.DUMMYFUNCTION("""COMPUTED_VALUE"""),"")</f>
        <v/>
      </c>
      <c r="D72" s="28" t="str">
        <f>IFERROR(__xludf.DUMMYFUNCTION("""COMPUTED_VALUE"""),"")</f>
        <v/>
      </c>
      <c r="E72" s="28" t="str">
        <f>IFERROR(__xludf.DUMMYFUNCTION("""COMPUTED_VALUE"""),"")</f>
        <v/>
      </c>
      <c r="F72" s="28" t="str">
        <f>IFERROR(__xludf.DUMMYFUNCTION("""COMPUTED_VALUE"""),"")</f>
        <v/>
      </c>
      <c r="G72" s="28" t="str">
        <f>IFERROR(__xludf.DUMMYFUNCTION("""COMPUTED_VALUE"""),"")</f>
        <v/>
      </c>
      <c r="H72" s="28" t="str">
        <f>IFERROR(__xludf.DUMMYFUNCTION("""COMPUTED_VALUE"""),"")</f>
        <v/>
      </c>
    </row>
    <row r="73">
      <c r="A73" s="28" t="str">
        <f>IFERROR(__xludf.DUMMYFUNCTION("""COMPUTED_VALUE"""),"")</f>
        <v/>
      </c>
      <c r="B73" s="28" t="str">
        <f>IFERROR(__xludf.DUMMYFUNCTION("""COMPUTED_VALUE"""),"")</f>
        <v/>
      </c>
      <c r="C73" s="28" t="str">
        <f>IFERROR(__xludf.DUMMYFUNCTION("""COMPUTED_VALUE"""),"")</f>
        <v/>
      </c>
      <c r="D73" s="28" t="str">
        <f>IFERROR(__xludf.DUMMYFUNCTION("""COMPUTED_VALUE"""),"")</f>
        <v/>
      </c>
      <c r="E73" s="28" t="str">
        <f>IFERROR(__xludf.DUMMYFUNCTION("""COMPUTED_VALUE"""),"")</f>
        <v/>
      </c>
      <c r="F73" s="28" t="str">
        <f>IFERROR(__xludf.DUMMYFUNCTION("""COMPUTED_VALUE"""),"")</f>
        <v/>
      </c>
      <c r="G73" s="28" t="str">
        <f>IFERROR(__xludf.DUMMYFUNCTION("""COMPUTED_VALUE"""),"")</f>
        <v/>
      </c>
      <c r="H73" s="28" t="str">
        <f>IFERROR(__xludf.DUMMYFUNCTION("""COMPUTED_VALUE"""),"")</f>
        <v/>
      </c>
    </row>
    <row r="74">
      <c r="A74" s="1" t="str">
        <f>IFERROR(__xludf.DUMMYFUNCTION("""COMPUTED_VALUE"""),"НАСТОЛЬНЫЕ МАТЫ (Мягкий ПВХ)")</f>
        <v>НАСТОЛЬНЫЕ МАТЫ (Мягкий ПВХ)</v>
      </c>
      <c r="B74" s="1" t="str">
        <f>IFERROR(__xludf.DUMMYFUNCTION("""COMPUTED_VALUE"""),"")</f>
        <v/>
      </c>
      <c r="C74" s="1" t="str">
        <f>IFERROR(__xludf.DUMMYFUNCTION("""COMPUTED_VALUE"""),"")</f>
        <v/>
      </c>
      <c r="D74" s="1" t="str">
        <f>IFERROR(__xludf.DUMMYFUNCTION("""COMPUTED_VALUE"""),"")</f>
        <v/>
      </c>
      <c r="E74" s="1" t="str">
        <f>IFERROR(__xludf.DUMMYFUNCTION("""COMPUTED_VALUE"""),"")</f>
        <v/>
      </c>
      <c r="F74" s="1" t="str">
        <f>IFERROR(__xludf.DUMMYFUNCTION("""COMPUTED_VALUE"""),"")</f>
        <v/>
      </c>
      <c r="G74" s="1" t="str">
        <f>IFERROR(__xludf.DUMMYFUNCTION("""COMPUTED_VALUE"""),"")</f>
        <v/>
      </c>
      <c r="H74" s="1" t="str">
        <f>IFERROR(__xludf.DUMMYFUNCTION("""COMPUTED_VALUE"""),"")</f>
        <v/>
      </c>
    </row>
    <row r="75">
      <c r="A75" s="53" t="str">
        <f>IFERROR(__xludf.DUMMYFUNCTION("""COMPUTED_VALUE"""),"")</f>
        <v/>
      </c>
      <c r="B75" s="53" t="str">
        <f>IFERROR(__xludf.DUMMYFUNCTION("""COMPUTED_VALUE"""),"")</f>
        <v/>
      </c>
      <c r="C75" s="6" t="str">
        <f>IFERROR(__xludf.DUMMYFUNCTION("""COMPUTED_VALUE"""),"50 шт")</f>
        <v>50 шт</v>
      </c>
      <c r="D75" s="6" t="str">
        <f>IFERROR(__xludf.DUMMYFUNCTION("""COMPUTED_VALUE"""),"100 шт")</f>
        <v>100 шт</v>
      </c>
      <c r="E75" s="6" t="str">
        <f>IFERROR(__xludf.DUMMYFUNCTION("""COMPUTED_VALUE"""),"200 шт")</f>
        <v>200 шт</v>
      </c>
      <c r="F75" s="6" t="str">
        <f>IFERROR(__xludf.DUMMYFUNCTION("""COMPUTED_VALUE"""),"300 шт")</f>
        <v>300 шт</v>
      </c>
      <c r="G75" s="6" t="str">
        <f>IFERROR(__xludf.DUMMYFUNCTION("""COMPUTED_VALUE"""),"500 шт")</f>
        <v>500 шт</v>
      </c>
      <c r="H75" s="6" t="str">
        <f>IFERROR(__xludf.DUMMYFUNCTION("""COMPUTED_VALUE"""),"1000 шт")</f>
        <v>1000 шт</v>
      </c>
    </row>
    <row r="76">
      <c r="A76" s="8" t="str">
        <f>IFERROR(__xludf.DUMMYFUNCTION("""COMPUTED_VALUE"""),"НМ-1Ц (цифра)")</f>
        <v>НМ-1Ц (цифра)</v>
      </c>
      <c r="B76" s="8" t="str">
        <f>IFERROR(__xludf.DUMMYFUNCTION("""COMPUTED_VALUE"""),"Настольный мат ПВХ с антискользящей подложкой, цифровая печать, покрытый матовой пленкой пвх 500мкм, 401х303 мм")</f>
        <v>Настольный мат ПВХ с антискользящей подложкой, цифровая печать, покрытый матовой пленкой пвх 500мкм, 401х303 мм</v>
      </c>
      <c r="C76" s="10" t="str">
        <f>IFERROR(__xludf.DUMMYFUNCTION("""COMPUTED_VALUE"""),"300 руб")</f>
        <v>300 руб</v>
      </c>
      <c r="D76" s="10" t="str">
        <f>IFERROR(__xludf.DUMMYFUNCTION("""COMPUTED_VALUE"""),"290 руб")</f>
        <v>290 руб</v>
      </c>
      <c r="E76" s="10" t="str">
        <f>IFERROR(__xludf.DUMMYFUNCTION("""COMPUTED_VALUE"""),"280 руб")</f>
        <v>280 руб</v>
      </c>
      <c r="F76" s="10" t="str">
        <f>IFERROR(__xludf.DUMMYFUNCTION("""COMPUTED_VALUE"""),"270 руб")</f>
        <v>270 руб</v>
      </c>
      <c r="G76" s="10" t="str">
        <f>IFERROR(__xludf.DUMMYFUNCTION("""COMPUTED_VALUE"""),"250 руб")</f>
        <v>250 руб</v>
      </c>
      <c r="H76" s="10" t="str">
        <f>IFERROR(__xludf.DUMMYFUNCTION("""COMPUTED_VALUE"""),"")</f>
        <v/>
      </c>
    </row>
    <row r="77">
      <c r="A77" s="8" t="str">
        <f>IFERROR(__xludf.DUMMYFUNCTION("""COMPUTED_VALUE"""),"НМ-1О (офсет)")</f>
        <v>НМ-1О (офсет)</v>
      </c>
      <c r="B77" s="8" t="str">
        <f>IFERROR(__xludf.DUMMYFUNCTION("""COMPUTED_VALUE"""),"Настольный мат ПВХ с антискользящей подложкой, офсетная печать, покрытый матовой пленкой пвх 500мкм, 401х303 мм")</f>
        <v>Настольный мат ПВХ с антискользящей подложкой, офсетная печать, покрытый матовой пленкой пвх 500мкм, 401х303 мм</v>
      </c>
      <c r="C77" s="10" t="str">
        <f>IFERROR(__xludf.DUMMYFUNCTION("""COMPUTED_VALUE"""),"")</f>
        <v/>
      </c>
      <c r="D77" s="10" t="str">
        <f>IFERROR(__xludf.DUMMYFUNCTION("""COMPUTED_VALUE"""),"")</f>
        <v/>
      </c>
      <c r="E77" s="10" t="str">
        <f>IFERROR(__xludf.DUMMYFUNCTION("""COMPUTED_VALUE"""),"")</f>
        <v/>
      </c>
      <c r="F77" s="10" t="str">
        <f>IFERROR(__xludf.DUMMYFUNCTION("""COMPUTED_VALUE"""),"")</f>
        <v/>
      </c>
      <c r="G77" s="10" t="str">
        <f>IFERROR(__xludf.DUMMYFUNCTION("""COMPUTED_VALUE"""),"250 руб")</f>
        <v>250 руб</v>
      </c>
      <c r="H77" s="10" t="str">
        <f>IFERROR(__xludf.DUMMYFUNCTION("""COMPUTED_VALUE"""),"240 руб")</f>
        <v>240 руб</v>
      </c>
    </row>
    <row r="78">
      <c r="A78" s="28" t="str">
        <f>IFERROR(__xludf.DUMMYFUNCTION("""COMPUTED_VALUE"""),"")</f>
        <v/>
      </c>
      <c r="B78" s="28" t="str">
        <f>IFERROR(__xludf.DUMMYFUNCTION("""COMPUTED_VALUE"""),"")</f>
        <v/>
      </c>
      <c r="C78" s="28" t="str">
        <f>IFERROR(__xludf.DUMMYFUNCTION("""COMPUTED_VALUE"""),"")</f>
        <v/>
      </c>
      <c r="D78" s="28" t="str">
        <f>IFERROR(__xludf.DUMMYFUNCTION("""COMPUTED_VALUE"""),"")</f>
        <v/>
      </c>
      <c r="E78" s="28" t="str">
        <f>IFERROR(__xludf.DUMMYFUNCTION("""COMPUTED_VALUE"""),"")</f>
        <v/>
      </c>
      <c r="F78" s="28" t="str">
        <f>IFERROR(__xludf.DUMMYFUNCTION("""COMPUTED_VALUE"""),"")</f>
        <v/>
      </c>
      <c r="G78" s="28" t="str">
        <f>IFERROR(__xludf.DUMMYFUNCTION("""COMPUTED_VALUE"""),"")</f>
        <v/>
      </c>
      <c r="H78" s="28" t="str">
        <f>IFERROR(__xludf.DUMMYFUNCTION("""COMPUTED_VALUE"""),"")</f>
        <v/>
      </c>
    </row>
    <row r="79">
      <c r="A79" s="28" t="str">
        <f>IFERROR(__xludf.DUMMYFUNCTION("""COMPUTED_VALUE"""),"")</f>
        <v/>
      </c>
      <c r="B79" s="28" t="str">
        <f>IFERROR(__xludf.DUMMYFUNCTION("""COMPUTED_VALUE"""),"")</f>
        <v/>
      </c>
      <c r="C79" s="28" t="str">
        <f>IFERROR(__xludf.DUMMYFUNCTION("""COMPUTED_VALUE"""),"")</f>
        <v/>
      </c>
      <c r="D79" s="28" t="str">
        <f>IFERROR(__xludf.DUMMYFUNCTION("""COMPUTED_VALUE"""),"")</f>
        <v/>
      </c>
      <c r="E79" s="28" t="str">
        <f>IFERROR(__xludf.DUMMYFUNCTION("""COMPUTED_VALUE"""),"")</f>
        <v/>
      </c>
      <c r="F79" s="28" t="str">
        <f>IFERROR(__xludf.DUMMYFUNCTION("""COMPUTED_VALUE"""),"")</f>
        <v/>
      </c>
      <c r="G79" s="28" t="str">
        <f>IFERROR(__xludf.DUMMYFUNCTION("""COMPUTED_VALUE"""),"")</f>
        <v/>
      </c>
      <c r="H79" s="28" t="str">
        <f>IFERROR(__xludf.DUMMYFUNCTION("""COMPUTED_VALUE"""),"")</f>
        <v/>
      </c>
    </row>
    <row r="80">
      <c r="A80" s="28" t="str">
        <f>IFERROR(__xludf.DUMMYFUNCTION("""COMPUTED_VALUE"""),"")</f>
        <v/>
      </c>
      <c r="B80" s="28" t="str">
        <f>IFERROR(__xludf.DUMMYFUNCTION("""COMPUTED_VALUE"""),"")</f>
        <v/>
      </c>
      <c r="C80" s="28" t="str">
        <f>IFERROR(__xludf.DUMMYFUNCTION("""COMPUTED_VALUE"""),"")</f>
        <v/>
      </c>
      <c r="D80" s="28" t="str">
        <f>IFERROR(__xludf.DUMMYFUNCTION("""COMPUTED_VALUE"""),"")</f>
        <v/>
      </c>
      <c r="E80" s="28" t="str">
        <f>IFERROR(__xludf.DUMMYFUNCTION("""COMPUTED_VALUE"""),"")</f>
        <v/>
      </c>
      <c r="F80" s="28" t="str">
        <f>IFERROR(__xludf.DUMMYFUNCTION("""COMPUTED_VALUE"""),"")</f>
        <v/>
      </c>
      <c r="G80" s="28" t="str">
        <f>IFERROR(__xludf.DUMMYFUNCTION("""COMPUTED_VALUE"""),"")</f>
        <v/>
      </c>
      <c r="H80" s="28" t="str">
        <f>IFERROR(__xludf.DUMMYFUNCTION("""COMPUTED_VALUE"""),"")</f>
        <v/>
      </c>
    </row>
    <row r="81">
      <c r="A81" s="28" t="str">
        <f>IFERROR(__xludf.DUMMYFUNCTION("""COMPUTED_VALUE"""),"Другие изделия")</f>
        <v>Другие изделия</v>
      </c>
      <c r="B81" s="28" t="str">
        <f>IFERROR(__xludf.DUMMYFUNCTION("""COMPUTED_VALUE"""),"")</f>
        <v/>
      </c>
      <c r="C81" s="28" t="str">
        <f>IFERROR(__xludf.DUMMYFUNCTION("""COMPUTED_VALUE"""),"")</f>
        <v/>
      </c>
      <c r="D81" s="28" t="str">
        <f>IFERROR(__xludf.DUMMYFUNCTION("""COMPUTED_VALUE"""),"")</f>
        <v/>
      </c>
      <c r="E81" s="28" t="str">
        <f>IFERROR(__xludf.DUMMYFUNCTION("""COMPUTED_VALUE"""),"")</f>
        <v/>
      </c>
      <c r="F81" s="28" t="str">
        <f>IFERROR(__xludf.DUMMYFUNCTION("""COMPUTED_VALUE"""),"")</f>
        <v/>
      </c>
      <c r="G81" s="28" t="str">
        <f>IFERROR(__xludf.DUMMYFUNCTION("""COMPUTED_VALUE"""),"")</f>
        <v/>
      </c>
      <c r="H81" s="28" t="str">
        <f>IFERROR(__xludf.DUMMYFUNCTION("""COMPUTED_VALUE"""),"")</f>
        <v/>
      </c>
    </row>
    <row r="82">
      <c r="A82" s="13" t="str">
        <f>IFERROR(__xludf.DUMMYFUNCTION("""COMPUTED_VALUE"""),"Бирка багажная")</f>
        <v>Бирка багажная</v>
      </c>
      <c r="B82" s="13" t="str">
        <f>IFERROR(__xludf.DUMMYFUNCTION("""COMPUTED_VALUE"""),"")</f>
        <v/>
      </c>
      <c r="C82" s="13" t="str">
        <f>IFERROR(__xludf.DUMMYFUNCTION("""COMPUTED_VALUE"""),"50 шт")</f>
        <v>50 шт</v>
      </c>
      <c r="D82" s="13" t="str">
        <f>IFERROR(__xludf.DUMMYFUNCTION("""COMPUTED_VALUE"""),"100 шт")</f>
        <v>100 шт</v>
      </c>
      <c r="E82" s="13" t="str">
        <f>IFERROR(__xludf.DUMMYFUNCTION("""COMPUTED_VALUE"""),"200 шт")</f>
        <v>200 шт</v>
      </c>
      <c r="F82" s="13" t="str">
        <f>IFERROR(__xludf.DUMMYFUNCTION("""COMPUTED_VALUE"""),"300 шт")</f>
        <v>300 шт</v>
      </c>
      <c r="G82" s="13" t="str">
        <f>IFERROR(__xludf.DUMMYFUNCTION("""COMPUTED_VALUE"""),"500 шт")</f>
        <v>500 шт</v>
      </c>
      <c r="H82" s="13" t="str">
        <f>IFERROR(__xludf.DUMMYFUNCTION("""COMPUTED_VALUE"""),"1000 шт")</f>
        <v>1000 шт</v>
      </c>
    </row>
    <row r="83">
      <c r="A83" s="8" t="str">
        <f>IFERROR(__xludf.DUMMYFUNCTION("""COMPUTED_VALUE"""),"ПБ-3, цифра ")</f>
        <v>ПБ-3, цифра </v>
      </c>
      <c r="B83" s="8" t="str">
        <f>IFERROR(__xludf.DUMMYFUNCTION("""COMPUTED_VALUE"""),"Бирка багажная (82 х 289 мм), мягкий ПВХ 250 мкм, цифровая полноцветная печать (до 10000 штук)")</f>
        <v>Бирка багажная (82 х 289 мм), мягкий ПВХ 250 мкм, цифровая полноцветная печать (до 10000 штук)</v>
      </c>
      <c r="C83" s="10" t="str">
        <f>IFERROR(__xludf.DUMMYFUNCTION("""COMPUTED_VALUE"""),"-")</f>
        <v>-</v>
      </c>
      <c r="D83" s="10" t="str">
        <f>IFERROR(__xludf.DUMMYFUNCTION("""COMPUTED_VALUE"""),"60 руб")</f>
        <v>60 руб</v>
      </c>
      <c r="E83" s="10" t="str">
        <f>IFERROR(__xludf.DUMMYFUNCTION("""COMPUTED_VALUE"""),"55 руб")</f>
        <v>55 руб</v>
      </c>
      <c r="F83" s="10" t="str">
        <f>IFERROR(__xludf.DUMMYFUNCTION("""COMPUTED_VALUE"""),"50 руб")</f>
        <v>50 руб</v>
      </c>
      <c r="G83" s="10" t="str">
        <f>IFERROR(__xludf.DUMMYFUNCTION("""COMPUTED_VALUE"""),"45 руб")</f>
        <v>45 руб</v>
      </c>
      <c r="H83" s="10" t="str">
        <f>IFERROR(__xludf.DUMMYFUNCTION("""COMPUTED_VALUE"""),"38 руб")</f>
        <v>38 руб</v>
      </c>
    </row>
    <row r="84">
      <c r="A84" s="8" t="str">
        <f>IFERROR(__xludf.DUMMYFUNCTION("""COMPUTED_VALUE"""),"ПБ-3, офсет")</f>
        <v>ПБ-3, офсет</v>
      </c>
      <c r="B84" s="8" t="str">
        <f>IFERROR(__xludf.DUMMYFUNCTION("""COMPUTED_VALUE"""),"Бирка багажная (82 х 289 мм), мягкий ПВХ 250 мкм, офсетная полноцветная печать (от 10000 штук)")</f>
        <v>Бирка багажная (82 х 289 мм), мягкий ПВХ 250 мкм, офсетная полноцветная печать (от 10000 штук)</v>
      </c>
      <c r="C84" s="10" t="str">
        <f>IFERROR(__xludf.DUMMYFUNCTION("""COMPUTED_VALUE"""),"не делаем")</f>
        <v>не делаем</v>
      </c>
      <c r="D84" s="10" t="str">
        <f>IFERROR(__xludf.DUMMYFUNCTION("""COMPUTED_VALUE"""),"не делаем")</f>
        <v>не делаем</v>
      </c>
      <c r="E84" s="10" t="str">
        <f>IFERROR(__xludf.DUMMYFUNCTION("""COMPUTED_VALUE"""),"не делаем")</f>
        <v>не делаем</v>
      </c>
      <c r="F84" s="10" t="str">
        <f>IFERROR(__xludf.DUMMYFUNCTION("""COMPUTED_VALUE"""),"не делаем")</f>
        <v>не делаем</v>
      </c>
      <c r="G84" s="10" t="str">
        <f>IFERROR(__xludf.DUMMYFUNCTION("""COMPUTED_VALUE"""),"не делаем")</f>
        <v>не делаем</v>
      </c>
      <c r="H84" s="10" t="str">
        <f>IFERROR(__xludf.DUMMYFUNCTION("""COMPUTED_VALUE"""),"не делаем")</f>
        <v>не делаем</v>
      </c>
    </row>
    <row r="85">
      <c r="A85" s="28" t="str">
        <f>IFERROR(__xludf.DUMMYFUNCTION("""COMPUTED_VALUE"""),"")</f>
        <v/>
      </c>
      <c r="B85" s="28" t="str">
        <f>IFERROR(__xludf.DUMMYFUNCTION("""COMPUTED_VALUE"""),"")</f>
        <v/>
      </c>
      <c r="C85" s="28" t="str">
        <f>IFERROR(__xludf.DUMMYFUNCTION("""COMPUTED_VALUE"""),"")</f>
        <v/>
      </c>
      <c r="D85" s="28" t="str">
        <f>IFERROR(__xludf.DUMMYFUNCTION("""COMPUTED_VALUE"""),"")</f>
        <v/>
      </c>
      <c r="E85" s="28" t="str">
        <f>IFERROR(__xludf.DUMMYFUNCTION("""COMPUTED_VALUE"""),"")</f>
        <v/>
      </c>
      <c r="F85" s="28" t="str">
        <f>IFERROR(__xludf.DUMMYFUNCTION("""COMPUTED_VALUE"""),"")</f>
        <v/>
      </c>
      <c r="G85" s="28" t="str">
        <f>IFERROR(__xludf.DUMMYFUNCTION("""COMPUTED_VALUE"""),"")</f>
        <v/>
      </c>
      <c r="H85" s="28" t="str">
        <f>IFERROR(__xludf.DUMMYFUNCTION("""COMPUTED_VALUE"""),"")</f>
        <v/>
      </c>
    </row>
    <row r="86">
      <c r="A86" s="28" t="str">
        <f>IFERROR(__xludf.DUMMYFUNCTION("""COMPUTED_VALUE"""),"")</f>
        <v/>
      </c>
      <c r="B86" s="28" t="str">
        <f>IFERROR(__xludf.DUMMYFUNCTION("""COMPUTED_VALUE"""),"")</f>
        <v/>
      </c>
      <c r="C86" s="28" t="str">
        <f>IFERROR(__xludf.DUMMYFUNCTION("""COMPUTED_VALUE"""),"")</f>
        <v/>
      </c>
      <c r="D86" s="28" t="str">
        <f>IFERROR(__xludf.DUMMYFUNCTION("""COMPUTED_VALUE"""),"")</f>
        <v/>
      </c>
      <c r="E86" s="28" t="str">
        <f>IFERROR(__xludf.DUMMYFUNCTION("""COMPUTED_VALUE"""),"")</f>
        <v/>
      </c>
      <c r="F86" s="28" t="str">
        <f>IFERROR(__xludf.DUMMYFUNCTION("""COMPUTED_VALUE"""),"")</f>
        <v/>
      </c>
      <c r="G86" s="28" t="str">
        <f>IFERROR(__xludf.DUMMYFUNCTION("""COMPUTED_VALUE"""),"")</f>
        <v/>
      </c>
      <c r="H86" s="28" t="str">
        <f>IFERROR(__xludf.DUMMYFUNCTION("""COMPUTED_VALUE"""),"")</f>
        <v/>
      </c>
    </row>
    <row r="87">
      <c r="A87" s="28" t="str">
        <f>IFERROR(__xludf.DUMMYFUNCTION("""COMPUTED_VALUE"""),"")</f>
        <v/>
      </c>
      <c r="B87" s="28" t="str">
        <f>IFERROR(__xludf.DUMMYFUNCTION("""COMPUTED_VALUE"""),"")</f>
        <v/>
      </c>
      <c r="C87" s="28" t="str">
        <f>IFERROR(__xludf.DUMMYFUNCTION("""COMPUTED_VALUE"""),"")</f>
        <v/>
      </c>
      <c r="D87" s="28" t="str">
        <f>IFERROR(__xludf.DUMMYFUNCTION("""COMPUTED_VALUE"""),"")</f>
        <v/>
      </c>
      <c r="E87" s="28" t="str">
        <f>IFERROR(__xludf.DUMMYFUNCTION("""COMPUTED_VALUE"""),"")</f>
        <v/>
      </c>
      <c r="F87" s="28" t="str">
        <f>IFERROR(__xludf.DUMMYFUNCTION("""COMPUTED_VALUE"""),"")</f>
        <v/>
      </c>
      <c r="G87" s="28" t="str">
        <f>IFERROR(__xludf.DUMMYFUNCTION("""COMPUTED_VALUE"""),"")</f>
        <v/>
      </c>
      <c r="H87" s="28" t="str">
        <f>IFERROR(__xludf.DUMMYFUNCTION("""COMPUTED_VALUE"""),"")</f>
        <v/>
      </c>
    </row>
    <row r="88">
      <c r="A88" s="13" t="str">
        <f>IFERROR(__xludf.DUMMYFUNCTION("""COMPUTED_VALUE"""),"")</f>
        <v/>
      </c>
      <c r="B88" s="13" t="str">
        <f>IFERROR(__xludf.DUMMYFUNCTION("""COMPUTED_VALUE"""),"Линейка")</f>
        <v>Линейка</v>
      </c>
      <c r="C88" s="13" t="str">
        <f>IFERROR(__xludf.DUMMYFUNCTION("""COMPUTED_VALUE"""),"50 шт")</f>
        <v>50 шт</v>
      </c>
      <c r="D88" s="13" t="str">
        <f>IFERROR(__xludf.DUMMYFUNCTION("""COMPUTED_VALUE"""),"100 шт")</f>
        <v>100 шт</v>
      </c>
      <c r="E88" s="13" t="str">
        <f>IFERROR(__xludf.DUMMYFUNCTION("""COMPUTED_VALUE"""),"200 шт")</f>
        <v>200 шт</v>
      </c>
      <c r="F88" s="13" t="str">
        <f>IFERROR(__xludf.DUMMYFUNCTION("""COMPUTED_VALUE"""),"300 шт")</f>
        <v>300 шт</v>
      </c>
      <c r="G88" s="13" t="str">
        <f>IFERROR(__xludf.DUMMYFUNCTION("""COMPUTED_VALUE"""),"500 шт")</f>
        <v>500 шт</v>
      </c>
      <c r="H88" s="13" t="str">
        <f>IFERROR(__xludf.DUMMYFUNCTION("""COMPUTED_VALUE"""),"1000 шт")</f>
        <v>1000 шт</v>
      </c>
    </row>
    <row r="89">
      <c r="A89" s="8" t="str">
        <f>IFERROR(__xludf.DUMMYFUNCTION("""COMPUTED_VALUE"""),"ЛП-1Ц")</f>
        <v>ЛП-1Ц</v>
      </c>
      <c r="B89" s="8" t="str">
        <f>IFERROR(__xludf.DUMMYFUNCTION("""COMPUTED_VALUE"""),"Линейка измерительная ПВХ с полноцветной цифровой печатью 30 см, (320х35х1мм)")</f>
        <v>Линейка измерительная ПВХ с полноцветной цифровой печатью 30 см, (320х35х1мм)</v>
      </c>
      <c r="C89" s="10" t="str">
        <f>IFERROR(__xludf.DUMMYFUNCTION("""COMPUTED_VALUE"""),"не делаем")</f>
        <v>не делаем</v>
      </c>
      <c r="D89" s="10" t="str">
        <f>IFERROR(__xludf.DUMMYFUNCTION("""COMPUTED_VALUE"""),"68 руб")</f>
        <v>68 руб</v>
      </c>
      <c r="E89" s="10" t="str">
        <f>IFERROR(__xludf.DUMMYFUNCTION("""COMPUTED_VALUE"""),"63 руб")</f>
        <v>63 руб</v>
      </c>
      <c r="F89" s="10" t="str">
        <f>IFERROR(__xludf.DUMMYFUNCTION("""COMPUTED_VALUE"""),"58 руб")</f>
        <v>58 руб</v>
      </c>
      <c r="G89" s="10" t="str">
        <f>IFERROR(__xludf.DUMMYFUNCTION("""COMPUTED_VALUE"""),"55 руб")</f>
        <v>55 руб</v>
      </c>
      <c r="H89" s="10" t="str">
        <f>IFERROR(__xludf.DUMMYFUNCTION("""COMPUTED_VALUE"""),"50 руб")</f>
        <v>50 руб</v>
      </c>
    </row>
    <row r="90">
      <c r="A90" s="8" t="str">
        <f>IFERROR(__xludf.DUMMYFUNCTION("""COMPUTED_VALUE"""),"ЛП-1О")</f>
        <v>ЛП-1О</v>
      </c>
      <c r="B90" s="8" t="str">
        <f>IFERROR(__xludf.DUMMYFUNCTION("""COMPUTED_VALUE"""),"Линейка измерительная ПВХ с полноцветной офсетной печатью 30 см, (320х35х1мм)")</f>
        <v>Линейка измерительная ПВХ с полноцветной офсетной печатью 30 см, (320х35х1мм)</v>
      </c>
      <c r="C90" s="10" t="str">
        <f>IFERROR(__xludf.DUMMYFUNCTION("""COMPUTED_VALUE"""),"не делаем")</f>
        <v>не делаем</v>
      </c>
      <c r="D90" s="10" t="str">
        <f>IFERROR(__xludf.DUMMYFUNCTION("""COMPUTED_VALUE"""),"не делаем")</f>
        <v>не делаем</v>
      </c>
      <c r="E90" s="10" t="str">
        <f>IFERROR(__xludf.DUMMYFUNCTION("""COMPUTED_VALUE"""),"не делаем")</f>
        <v>не делаем</v>
      </c>
      <c r="F90" s="10" t="str">
        <f>IFERROR(__xludf.DUMMYFUNCTION("""COMPUTED_VALUE"""),"не делаем")</f>
        <v>не делаем</v>
      </c>
      <c r="G90" s="10" t="str">
        <f>IFERROR(__xludf.DUMMYFUNCTION("""COMPUTED_VALUE"""),"не делаем")</f>
        <v>не делаем</v>
      </c>
      <c r="H90" s="10" t="str">
        <f>IFERROR(__xludf.DUMMYFUNCTION("""COMPUTED_VALUE"""),"не делаем")</f>
        <v>не делаем</v>
      </c>
    </row>
    <row r="91">
      <c r="A91" s="8" t="str">
        <f>IFERROR(__xludf.DUMMYFUNCTION("""COMPUTED_VALUE"""),"ЛПТ-2Ц")</f>
        <v>ЛПТ-2Ц</v>
      </c>
      <c r="B91" s="8" t="str">
        <f>IFERROR(__xludf.DUMMYFUNCTION("""COMPUTED_VALUE"""),"Линейка-треугольник ПВХ с полноцветной цифровой печатью 10 см, (124х71,5х1мм)")</f>
        <v>Линейка-треугольник ПВХ с полноцветной цифровой печатью 10 см, (124х71,5х1мм)</v>
      </c>
      <c r="C91" s="10" t="str">
        <f>IFERROR(__xludf.DUMMYFUNCTION("""COMPUTED_VALUE"""),"не делаем")</f>
        <v>не делаем</v>
      </c>
      <c r="D91" s="10" t="str">
        <f>IFERROR(__xludf.DUMMYFUNCTION("""COMPUTED_VALUE"""),"63 руб")</f>
        <v>63 руб</v>
      </c>
      <c r="E91" s="10" t="str">
        <f>IFERROR(__xludf.DUMMYFUNCTION("""COMPUTED_VALUE"""),"58 руб")</f>
        <v>58 руб</v>
      </c>
      <c r="F91" s="10" t="str">
        <f>IFERROR(__xludf.DUMMYFUNCTION("""COMPUTED_VALUE"""),"53 руб")</f>
        <v>53 руб</v>
      </c>
      <c r="G91" s="10" t="str">
        <f>IFERROR(__xludf.DUMMYFUNCTION("""COMPUTED_VALUE"""),"50 руб")</f>
        <v>50 руб</v>
      </c>
      <c r="H91" s="10" t="str">
        <f>IFERROR(__xludf.DUMMYFUNCTION("""COMPUTED_VALUE"""),"47 руб")</f>
        <v>47 руб</v>
      </c>
    </row>
    <row r="92">
      <c r="A92" s="8" t="str">
        <f>IFERROR(__xludf.DUMMYFUNCTION("""COMPUTED_VALUE"""),"ЛПТ-2О")</f>
        <v>ЛПТ-2О</v>
      </c>
      <c r="B92" s="8" t="str">
        <f>IFERROR(__xludf.DUMMYFUNCTION("""COMPUTED_VALUE"""),"Линейка-треугольник ПВХ с полноцветной офсетной печатью 10 см, (124х71,5х1мм)")</f>
        <v>Линейка-треугольник ПВХ с полноцветной офсетной печатью 10 см, (124х71,5х1мм)</v>
      </c>
      <c r="C92" s="10" t="str">
        <f>IFERROR(__xludf.DUMMYFUNCTION("""COMPUTED_VALUE"""),"не делаем")</f>
        <v>не делаем</v>
      </c>
      <c r="D92" s="10" t="str">
        <f>IFERROR(__xludf.DUMMYFUNCTION("""COMPUTED_VALUE"""),"не делаем")</f>
        <v>не делаем</v>
      </c>
      <c r="E92" s="10" t="str">
        <f>IFERROR(__xludf.DUMMYFUNCTION("""COMPUTED_VALUE"""),"не делаем")</f>
        <v>не делаем</v>
      </c>
      <c r="F92" s="10" t="str">
        <f>IFERROR(__xludf.DUMMYFUNCTION("""COMPUTED_VALUE"""),"не делаем")</f>
        <v>не делаем</v>
      </c>
      <c r="G92" s="10" t="str">
        <f>IFERROR(__xludf.DUMMYFUNCTION("""COMPUTED_VALUE"""),"не делаем")</f>
        <v>не делаем</v>
      </c>
      <c r="H92" s="10" t="str">
        <f>IFERROR(__xludf.DUMMYFUNCTION("""COMPUTED_VALUE"""),"не делаем")</f>
        <v>не делаем</v>
      </c>
    </row>
    <row r="93">
      <c r="A93" s="65" t="str">
        <f>IFERROR(__xludf.DUMMYFUNCTION("""COMPUTED_VALUE"""),"Обратите Внимание!!!")</f>
        <v>Обратите Внимание!!!</v>
      </c>
      <c r="B93" s="65" t="str">
        <f>IFERROR(__xludf.DUMMYFUNCTION("""COMPUTED_VALUE"""),"Стоимость нового штампа 25 000р. При цифровой печати используется только белый пвх.
При офсетной белый или прозрачный. ")</f>
        <v>Стоимость нового штампа 25 000р. При цифровой печати используется только белый пвх.
При офсетной белый или прозрачный. </v>
      </c>
      <c r="C93" s="28" t="str">
        <f>IFERROR(__xludf.DUMMYFUNCTION("""COMPUTED_VALUE"""),"")</f>
        <v/>
      </c>
      <c r="D93" s="28" t="str">
        <f>IFERROR(__xludf.DUMMYFUNCTION("""COMPUTED_VALUE"""),"")</f>
        <v/>
      </c>
      <c r="E93" s="28" t="str">
        <f>IFERROR(__xludf.DUMMYFUNCTION("""COMPUTED_VALUE"""),"")</f>
        <v/>
      </c>
      <c r="F93" s="28" t="str">
        <f>IFERROR(__xludf.DUMMYFUNCTION("""COMPUTED_VALUE"""),"")</f>
        <v/>
      </c>
      <c r="G93" s="28" t="str">
        <f>IFERROR(__xludf.DUMMYFUNCTION("""COMPUTED_VALUE"""),"")</f>
        <v/>
      </c>
      <c r="H93" s="28" t="str">
        <f>IFERROR(__xludf.DUMMYFUNCTION("""COMPUTED_VALUE"""),"")</f>
        <v/>
      </c>
    </row>
    <row r="94">
      <c r="A94" s="28"/>
      <c r="B94" s="28"/>
      <c r="C94" s="28"/>
      <c r="D94" s="28"/>
      <c r="E94" s="28"/>
      <c r="F94" s="28"/>
      <c r="G94" s="28"/>
      <c r="H94" s="28"/>
    </row>
    <row r="95">
      <c r="A95" s="28"/>
      <c r="B95" s="28"/>
      <c r="C95" s="28"/>
      <c r="D95" s="28"/>
      <c r="E95" s="28"/>
      <c r="F95" s="28"/>
      <c r="G95" s="28"/>
      <c r="H95" s="28"/>
    </row>
    <row r="96">
      <c r="A96" s="28"/>
      <c r="B96" s="28"/>
      <c r="C96" s="28"/>
      <c r="D96" s="28"/>
      <c r="E96" s="28"/>
      <c r="F96" s="28"/>
      <c r="G96" s="28"/>
      <c r="H96" s="28"/>
    </row>
    <row r="97">
      <c r="A97" s="67"/>
      <c r="B97" s="67"/>
      <c r="C97" s="67"/>
      <c r="D97" s="67"/>
      <c r="E97" s="67"/>
      <c r="F97" s="67"/>
      <c r="G97" s="67"/>
      <c r="H97" s="67"/>
    </row>
    <row r="98">
      <c r="A98" s="28"/>
      <c r="B98" s="28"/>
      <c r="C98" s="28"/>
      <c r="D98" s="28"/>
      <c r="E98" s="28"/>
      <c r="F98" s="28"/>
      <c r="G98" s="28"/>
      <c r="H98" s="28"/>
    </row>
    <row r="99">
      <c r="A99" s="28"/>
      <c r="B99" s="28"/>
      <c r="C99" s="28"/>
      <c r="D99" s="28"/>
      <c r="E99" s="28"/>
      <c r="F99" s="28"/>
      <c r="G99" s="28"/>
      <c r="H99" s="28"/>
    </row>
    <row r="100">
      <c r="A100" s="28"/>
      <c r="B100" s="28"/>
      <c r="C100" s="28"/>
      <c r="D100" s="28"/>
      <c r="E100" s="28"/>
      <c r="F100" s="28"/>
      <c r="G100" s="28"/>
      <c r="H100" s="28"/>
    </row>
    <row r="101">
      <c r="A101" s="28"/>
      <c r="B101" s="28"/>
      <c r="C101" s="28"/>
      <c r="D101" s="28"/>
      <c r="E101" s="28"/>
      <c r="F101" s="28"/>
      <c r="G101" s="28"/>
      <c r="H101" s="28"/>
    </row>
    <row r="102">
      <c r="A102" s="28"/>
      <c r="B102" s="28"/>
      <c r="C102" s="28"/>
      <c r="D102" s="28"/>
      <c r="E102" s="28"/>
      <c r="F102" s="28"/>
      <c r="G102" s="28"/>
      <c r="H102" s="28"/>
    </row>
    <row r="103">
      <c r="A103" s="28"/>
      <c r="B103" s="28"/>
      <c r="C103" s="28"/>
      <c r="D103" s="28"/>
      <c r="E103" s="28"/>
      <c r="F103" s="28"/>
      <c r="G103" s="28"/>
      <c r="H103" s="28"/>
    </row>
    <row r="104">
      <c r="A104" s="28"/>
      <c r="B104" s="28"/>
      <c r="C104" s="28"/>
      <c r="D104" s="28"/>
      <c r="E104" s="28"/>
      <c r="F104" s="28"/>
      <c r="G104" s="28"/>
      <c r="H104" s="28"/>
    </row>
    <row r="105">
      <c r="A105" s="28"/>
      <c r="B105" s="28"/>
      <c r="C105" s="28"/>
      <c r="D105" s="28"/>
      <c r="E105" s="28"/>
      <c r="F105" s="28"/>
      <c r="G105" s="28"/>
      <c r="H105" s="28"/>
    </row>
    <row r="106">
      <c r="A106" s="28"/>
      <c r="B106" s="28"/>
      <c r="C106" s="28"/>
      <c r="D106" s="28"/>
      <c r="E106" s="28"/>
      <c r="F106" s="28"/>
      <c r="G106" s="28"/>
      <c r="H106" s="28"/>
    </row>
    <row r="107">
      <c r="A107" s="28"/>
      <c r="B107" s="28"/>
      <c r="C107" s="28"/>
      <c r="D107" s="28"/>
      <c r="E107" s="28"/>
      <c r="F107" s="28"/>
      <c r="G107" s="28"/>
      <c r="H107" s="28"/>
    </row>
    <row r="108">
      <c r="A108" s="28"/>
      <c r="B108" s="28"/>
      <c r="C108" s="28"/>
      <c r="D108" s="28"/>
      <c r="E108" s="28"/>
      <c r="F108" s="28"/>
      <c r="G108" s="28"/>
      <c r="H108" s="28"/>
    </row>
    <row r="109">
      <c r="A109" s="28"/>
      <c r="B109" s="28"/>
      <c r="C109" s="28"/>
      <c r="D109" s="28"/>
      <c r="E109" s="28"/>
      <c r="F109" s="28"/>
      <c r="G109" s="28"/>
      <c r="H109" s="28"/>
    </row>
    <row r="110">
      <c r="A110" s="28"/>
      <c r="B110" s="28"/>
      <c r="C110" s="28"/>
      <c r="D110" s="28"/>
      <c r="E110" s="28"/>
      <c r="F110" s="28"/>
      <c r="G110" s="28"/>
      <c r="H110" s="28"/>
    </row>
    <row r="111">
      <c r="A111" s="28"/>
      <c r="B111" s="28"/>
      <c r="C111" s="28"/>
      <c r="D111" s="28"/>
      <c r="E111" s="28"/>
      <c r="F111" s="28"/>
      <c r="G111" s="28"/>
      <c r="H111" s="28"/>
    </row>
    <row r="112">
      <c r="A112" s="28"/>
      <c r="B112" s="28"/>
      <c r="C112" s="28"/>
      <c r="D112" s="28"/>
      <c r="E112" s="28"/>
      <c r="F112" s="28"/>
      <c r="G112" s="28"/>
      <c r="H112" s="28"/>
    </row>
    <row r="113">
      <c r="A113" s="28"/>
      <c r="B113" s="28"/>
      <c r="C113" s="28"/>
      <c r="D113" s="28"/>
      <c r="E113" s="28"/>
      <c r="F113" s="28"/>
      <c r="G113" s="28"/>
      <c r="H113" s="28"/>
    </row>
    <row r="114">
      <c r="A114" s="28"/>
      <c r="B114" s="28"/>
      <c r="C114" s="28"/>
      <c r="D114" s="28"/>
      <c r="E114" s="28"/>
      <c r="F114" s="28"/>
      <c r="G114" s="28"/>
      <c r="H114" s="28"/>
    </row>
    <row r="115">
      <c r="A115" s="28"/>
      <c r="B115" s="28"/>
      <c r="C115" s="28"/>
      <c r="D115" s="28"/>
      <c r="E115" s="28"/>
      <c r="F115" s="28"/>
      <c r="G115" s="28"/>
      <c r="H115" s="28"/>
    </row>
    <row r="116">
      <c r="A116" s="28"/>
      <c r="B116" s="28"/>
      <c r="C116" s="28"/>
      <c r="D116" s="28"/>
      <c r="E116" s="28"/>
      <c r="F116" s="28"/>
      <c r="G116" s="28"/>
      <c r="H116" s="28"/>
    </row>
    <row r="117">
      <c r="A117" s="28"/>
      <c r="B117" s="28"/>
      <c r="C117" s="28"/>
      <c r="D117" s="28"/>
      <c r="E117" s="28"/>
      <c r="F117" s="28"/>
      <c r="G117" s="28"/>
      <c r="H117" s="28"/>
    </row>
    <row r="118">
      <c r="A118" s="28"/>
      <c r="B118" s="28"/>
      <c r="C118" s="28"/>
      <c r="D118" s="28"/>
      <c r="E118" s="28"/>
      <c r="F118" s="28"/>
      <c r="G118" s="28"/>
      <c r="H118" s="28"/>
    </row>
    <row r="119">
      <c r="A119" s="28"/>
      <c r="B119" s="28"/>
      <c r="C119" s="28"/>
      <c r="D119" s="28"/>
      <c r="E119" s="28"/>
      <c r="F119" s="28"/>
      <c r="G119" s="28"/>
      <c r="H119" s="28"/>
    </row>
    <row r="120">
      <c r="A120" s="28"/>
      <c r="B120" s="28"/>
      <c r="C120" s="28"/>
      <c r="D120" s="28"/>
      <c r="E120" s="28"/>
      <c r="F120" s="28"/>
      <c r="G120" s="28"/>
      <c r="H120" s="28"/>
    </row>
    <row r="121">
      <c r="A121" s="28"/>
      <c r="B121" s="28"/>
      <c r="C121" s="28"/>
      <c r="D121" s="28"/>
      <c r="E121" s="28"/>
      <c r="F121" s="28"/>
      <c r="G121" s="28"/>
      <c r="H121" s="28"/>
    </row>
    <row r="122">
      <c r="A122" s="28"/>
      <c r="B122" s="28"/>
      <c r="C122" s="28"/>
      <c r="D122" s="28"/>
      <c r="E122" s="28"/>
      <c r="F122" s="28"/>
      <c r="G122" s="28"/>
      <c r="H122" s="28"/>
    </row>
    <row r="123">
      <c r="A123" s="28"/>
      <c r="B123" s="28"/>
      <c r="C123" s="28"/>
      <c r="D123" s="28"/>
      <c r="E123" s="28"/>
      <c r="F123" s="28"/>
      <c r="G123" s="28"/>
      <c r="H123" s="28"/>
    </row>
    <row r="124">
      <c r="A124" s="28"/>
      <c r="B124" s="28"/>
      <c r="C124" s="28"/>
      <c r="D124" s="28"/>
      <c r="E124" s="28"/>
      <c r="F124" s="28"/>
      <c r="G124" s="28"/>
      <c r="H124" s="28"/>
    </row>
    <row r="125">
      <c r="A125" s="28"/>
      <c r="B125" s="28"/>
      <c r="C125" s="28"/>
      <c r="D125" s="28"/>
      <c r="E125" s="28"/>
      <c r="F125" s="28"/>
      <c r="G125" s="28"/>
      <c r="H125" s="28"/>
    </row>
    <row r="126">
      <c r="A126" s="28"/>
      <c r="B126" s="28"/>
      <c r="C126" s="28"/>
      <c r="D126" s="28"/>
      <c r="E126" s="28"/>
      <c r="F126" s="28"/>
      <c r="G126" s="28"/>
      <c r="H126" s="28"/>
    </row>
    <row r="127">
      <c r="A127" s="28"/>
      <c r="B127" s="28"/>
      <c r="C127" s="28"/>
      <c r="D127" s="28"/>
      <c r="E127" s="28"/>
      <c r="F127" s="28"/>
      <c r="G127" s="28"/>
      <c r="H127" s="28"/>
    </row>
    <row r="128">
      <c r="A128" s="28"/>
      <c r="B128" s="28"/>
      <c r="C128" s="28"/>
      <c r="D128" s="28"/>
      <c r="E128" s="28"/>
      <c r="F128" s="28"/>
      <c r="G128" s="28"/>
      <c r="H128" s="28"/>
    </row>
    <row r="129">
      <c r="A129" s="28"/>
      <c r="B129" s="28"/>
      <c r="C129" s="28"/>
      <c r="D129" s="28"/>
      <c r="E129" s="28"/>
      <c r="F129" s="28"/>
      <c r="G129" s="28"/>
      <c r="H129" s="28"/>
    </row>
    <row r="130">
      <c r="A130" s="28"/>
      <c r="B130" s="28"/>
      <c r="C130" s="28"/>
      <c r="D130" s="28"/>
      <c r="E130" s="28"/>
      <c r="F130" s="28"/>
      <c r="G130" s="28"/>
      <c r="H130" s="28"/>
    </row>
    <row r="131">
      <c r="A131" s="28"/>
      <c r="B131" s="28"/>
      <c r="C131" s="28"/>
      <c r="D131" s="28"/>
      <c r="E131" s="28"/>
      <c r="F131" s="28"/>
      <c r="G131" s="28"/>
      <c r="H131" s="28"/>
    </row>
    <row r="132">
      <c r="A132" s="28"/>
      <c r="B132" s="28"/>
      <c r="C132" s="28"/>
      <c r="D132" s="28"/>
      <c r="E132" s="28"/>
      <c r="F132" s="28"/>
      <c r="G132" s="28"/>
      <c r="H132" s="28"/>
    </row>
    <row r="133">
      <c r="A133" s="28"/>
      <c r="B133" s="28"/>
      <c r="C133" s="28"/>
      <c r="D133" s="28"/>
      <c r="E133" s="28"/>
      <c r="F133" s="28"/>
      <c r="G133" s="28"/>
      <c r="H133" s="28"/>
    </row>
    <row r="134">
      <c r="A134" s="28"/>
      <c r="B134" s="28"/>
      <c r="C134" s="28"/>
      <c r="D134" s="28"/>
      <c r="E134" s="28"/>
      <c r="F134" s="28"/>
      <c r="G134" s="28"/>
      <c r="H134" s="28"/>
    </row>
    <row r="135">
      <c r="A135" s="28"/>
      <c r="B135" s="28"/>
      <c r="C135" s="28"/>
      <c r="D135" s="28"/>
      <c r="E135" s="28"/>
      <c r="F135" s="28"/>
      <c r="G135" s="28"/>
      <c r="H135" s="28"/>
    </row>
    <row r="136">
      <c r="A136" s="28"/>
      <c r="B136" s="28"/>
      <c r="C136" s="28"/>
      <c r="D136" s="28"/>
      <c r="E136" s="28"/>
      <c r="F136" s="28"/>
      <c r="G136" s="28"/>
      <c r="H136" s="28"/>
    </row>
    <row r="137">
      <c r="A137" s="28"/>
      <c r="B137" s="28"/>
      <c r="C137" s="28"/>
      <c r="D137" s="28"/>
      <c r="E137" s="28"/>
      <c r="F137" s="28"/>
      <c r="G137" s="28"/>
      <c r="H137" s="28"/>
    </row>
    <row r="138">
      <c r="A138" s="28"/>
      <c r="B138" s="28"/>
      <c r="C138" s="28"/>
      <c r="D138" s="28"/>
      <c r="E138" s="28"/>
      <c r="F138" s="28"/>
      <c r="G138" s="28"/>
      <c r="H138" s="28"/>
    </row>
    <row r="139">
      <c r="A139" s="28"/>
      <c r="B139" s="28"/>
      <c r="C139" s="28"/>
      <c r="D139" s="28"/>
      <c r="E139" s="28"/>
      <c r="F139" s="28"/>
      <c r="G139" s="28"/>
      <c r="H139" s="28"/>
    </row>
    <row r="140">
      <c r="A140" s="28"/>
      <c r="B140" s="28"/>
      <c r="C140" s="28"/>
      <c r="D140" s="28"/>
      <c r="E140" s="28"/>
      <c r="F140" s="28"/>
      <c r="G140" s="28"/>
      <c r="H140" s="28"/>
    </row>
    <row r="141">
      <c r="A141" s="28"/>
      <c r="B141" s="28"/>
      <c r="C141" s="28"/>
      <c r="D141" s="28"/>
      <c r="E141" s="28"/>
      <c r="F141" s="28"/>
      <c r="G141" s="28"/>
      <c r="H141" s="28"/>
    </row>
    <row r="142">
      <c r="A142" s="28"/>
      <c r="B142" s="28"/>
      <c r="C142" s="28"/>
      <c r="D142" s="28"/>
      <c r="E142" s="28"/>
      <c r="F142" s="28"/>
      <c r="G142" s="28"/>
      <c r="H142" s="28"/>
    </row>
    <row r="143">
      <c r="A143" s="28"/>
      <c r="B143" s="28"/>
      <c r="C143" s="28"/>
      <c r="D143" s="28"/>
      <c r="E143" s="28"/>
      <c r="F143" s="28"/>
      <c r="G143" s="28"/>
      <c r="H143" s="28"/>
    </row>
    <row r="144">
      <c r="A144" s="28"/>
      <c r="B144" s="28"/>
      <c r="C144" s="28"/>
      <c r="D144" s="28"/>
      <c r="E144" s="28"/>
      <c r="F144" s="28"/>
      <c r="G144" s="28"/>
      <c r="H144" s="28"/>
    </row>
    <row r="145">
      <c r="A145" s="28"/>
      <c r="B145" s="28"/>
      <c r="C145" s="28"/>
      <c r="D145" s="28"/>
      <c r="E145" s="28"/>
      <c r="F145" s="28"/>
      <c r="G145" s="28"/>
      <c r="H145" s="28"/>
    </row>
    <row r="146">
      <c r="A146" s="28"/>
      <c r="B146" s="28"/>
      <c r="C146" s="28"/>
      <c r="D146" s="28"/>
      <c r="E146" s="28"/>
      <c r="F146" s="28"/>
      <c r="G146" s="28"/>
      <c r="H146" s="28"/>
    </row>
    <row r="147">
      <c r="A147" s="28"/>
      <c r="B147" s="28"/>
      <c r="C147" s="28"/>
      <c r="D147" s="28"/>
      <c r="E147" s="28"/>
      <c r="F147" s="28"/>
      <c r="G147" s="28"/>
      <c r="H147" s="28"/>
    </row>
    <row r="148">
      <c r="A148" s="28"/>
      <c r="B148" s="28"/>
      <c r="C148" s="28"/>
      <c r="D148" s="28"/>
      <c r="E148" s="28"/>
      <c r="F148" s="28"/>
      <c r="G148" s="28"/>
      <c r="H148" s="28"/>
    </row>
    <row r="149">
      <c r="A149" s="28"/>
      <c r="B149" s="28"/>
      <c r="C149" s="28"/>
      <c r="D149" s="28"/>
      <c r="E149" s="28"/>
      <c r="F149" s="28"/>
      <c r="G149" s="28"/>
      <c r="H149" s="28"/>
    </row>
    <row r="150">
      <c r="A150" s="28"/>
      <c r="B150" s="28"/>
      <c r="C150" s="28"/>
      <c r="D150" s="28"/>
      <c r="E150" s="28"/>
      <c r="F150" s="28"/>
      <c r="G150" s="28"/>
      <c r="H150" s="28"/>
    </row>
    <row r="151">
      <c r="A151" s="28"/>
      <c r="B151" s="28"/>
      <c r="C151" s="28"/>
      <c r="D151" s="28"/>
      <c r="E151" s="28"/>
      <c r="F151" s="28"/>
      <c r="G151" s="28"/>
      <c r="H151" s="28"/>
    </row>
    <row r="152">
      <c r="A152" s="28"/>
      <c r="B152" s="28"/>
      <c r="C152" s="28"/>
      <c r="D152" s="28"/>
      <c r="E152" s="28"/>
      <c r="F152" s="28"/>
      <c r="G152" s="28"/>
      <c r="H152" s="28"/>
    </row>
    <row r="153">
      <c r="A153" s="28"/>
      <c r="B153" s="28"/>
      <c r="C153" s="28"/>
      <c r="D153" s="28"/>
      <c r="E153" s="28"/>
      <c r="F153" s="28"/>
      <c r="G153" s="28"/>
      <c r="H153" s="28"/>
    </row>
    <row r="154">
      <c r="A154" s="28"/>
      <c r="B154" s="28"/>
      <c r="C154" s="28"/>
      <c r="D154" s="28"/>
      <c r="E154" s="28"/>
      <c r="F154" s="28"/>
      <c r="G154" s="28"/>
      <c r="H154" s="28"/>
    </row>
    <row r="155">
      <c r="A155" s="28"/>
      <c r="B155" s="28"/>
      <c r="C155" s="28"/>
      <c r="D155" s="28"/>
      <c r="E155" s="28"/>
      <c r="F155" s="28"/>
      <c r="G155" s="28"/>
      <c r="H155" s="28"/>
    </row>
    <row r="156">
      <c r="A156" s="28"/>
      <c r="B156" s="28"/>
      <c r="C156" s="28"/>
      <c r="D156" s="28"/>
      <c r="E156" s="28"/>
      <c r="F156" s="28"/>
      <c r="G156" s="28"/>
      <c r="H156" s="28"/>
    </row>
    <row r="157">
      <c r="A157" s="28"/>
      <c r="B157" s="28"/>
      <c r="C157" s="28"/>
      <c r="D157" s="28"/>
      <c r="E157" s="28"/>
      <c r="F157" s="28"/>
      <c r="G157" s="28"/>
      <c r="H157" s="28"/>
    </row>
    <row r="158">
      <c r="A158" s="28"/>
      <c r="B158" s="28"/>
      <c r="C158" s="28"/>
      <c r="D158" s="28"/>
      <c r="E158" s="28"/>
      <c r="F158" s="28"/>
      <c r="G158" s="28"/>
      <c r="H158" s="28"/>
    </row>
    <row r="159">
      <c r="A159" s="28"/>
      <c r="B159" s="28"/>
      <c r="C159" s="28"/>
      <c r="D159" s="28"/>
      <c r="E159" s="28"/>
      <c r="F159" s="28"/>
      <c r="G159" s="28"/>
      <c r="H159" s="28"/>
    </row>
    <row r="160">
      <c r="A160" s="28"/>
      <c r="B160" s="28"/>
      <c r="C160" s="28"/>
      <c r="D160" s="28"/>
      <c r="E160" s="28"/>
      <c r="F160" s="28"/>
      <c r="G160" s="28"/>
      <c r="H160" s="28"/>
    </row>
    <row r="161">
      <c r="A161" s="28"/>
      <c r="B161" s="28"/>
      <c r="C161" s="28"/>
      <c r="D161" s="28"/>
      <c r="E161" s="28"/>
      <c r="F161" s="28"/>
      <c r="G161" s="28"/>
      <c r="H161" s="28"/>
    </row>
    <row r="162">
      <c r="A162" s="28"/>
      <c r="B162" s="28"/>
      <c r="C162" s="28"/>
      <c r="D162" s="28"/>
      <c r="E162" s="28"/>
      <c r="F162" s="28"/>
      <c r="G162" s="28"/>
      <c r="H162" s="28"/>
    </row>
    <row r="163">
      <c r="A163" s="28"/>
      <c r="B163" s="28"/>
      <c r="C163" s="28"/>
      <c r="D163" s="28"/>
      <c r="E163" s="28"/>
      <c r="F163" s="28"/>
      <c r="G163" s="28"/>
      <c r="H163" s="28"/>
    </row>
    <row r="164">
      <c r="A164" s="28"/>
      <c r="B164" s="28"/>
      <c r="C164" s="28"/>
      <c r="D164" s="28"/>
      <c r="E164" s="28"/>
      <c r="F164" s="28"/>
      <c r="G164" s="28"/>
      <c r="H164" s="28"/>
    </row>
    <row r="165">
      <c r="A165" s="28"/>
      <c r="B165" s="28"/>
      <c r="C165" s="28"/>
      <c r="D165" s="28"/>
      <c r="E165" s="28"/>
      <c r="F165" s="28"/>
      <c r="G165" s="28"/>
      <c r="H165" s="28"/>
    </row>
    <row r="166">
      <c r="A166" s="28"/>
      <c r="B166" s="28"/>
      <c r="C166" s="28"/>
      <c r="D166" s="28"/>
      <c r="E166" s="28"/>
      <c r="F166" s="28"/>
      <c r="G166" s="28"/>
      <c r="H166" s="28"/>
    </row>
    <row r="167">
      <c r="A167" s="28"/>
      <c r="B167" s="28"/>
      <c r="C167" s="28"/>
      <c r="D167" s="28"/>
      <c r="E167" s="28"/>
      <c r="F167" s="28"/>
      <c r="G167" s="28"/>
      <c r="H167" s="28"/>
    </row>
    <row r="168">
      <c r="A168" s="28"/>
      <c r="B168" s="28"/>
      <c r="C168" s="28"/>
      <c r="D168" s="28"/>
      <c r="E168" s="28"/>
      <c r="F168" s="28"/>
      <c r="G168" s="28"/>
      <c r="H168" s="28"/>
    </row>
    <row r="169">
      <c r="A169" s="28"/>
      <c r="B169" s="28"/>
      <c r="C169" s="28"/>
      <c r="D169" s="28"/>
      <c r="E169" s="28"/>
      <c r="F169" s="28"/>
      <c r="G169" s="28"/>
      <c r="H169" s="28"/>
    </row>
    <row r="170">
      <c r="A170" s="28"/>
      <c r="B170" s="28"/>
      <c r="C170" s="28"/>
      <c r="D170" s="28"/>
      <c r="E170" s="28"/>
      <c r="F170" s="28"/>
      <c r="G170" s="28"/>
      <c r="H170" s="28"/>
    </row>
    <row r="171">
      <c r="A171" s="28"/>
      <c r="B171" s="28"/>
      <c r="C171" s="28"/>
      <c r="D171" s="28"/>
      <c r="E171" s="28"/>
      <c r="F171" s="28"/>
      <c r="G171" s="28"/>
      <c r="H171" s="28"/>
    </row>
    <row r="172">
      <c r="A172" s="28"/>
      <c r="B172" s="28"/>
      <c r="C172" s="28"/>
      <c r="D172" s="28"/>
      <c r="E172" s="28"/>
      <c r="F172" s="28"/>
      <c r="G172" s="28"/>
      <c r="H172" s="28"/>
    </row>
    <row r="173">
      <c r="A173" s="28"/>
      <c r="B173" s="28"/>
      <c r="C173" s="28"/>
      <c r="D173" s="28"/>
      <c r="E173" s="28"/>
      <c r="F173" s="28"/>
      <c r="G173" s="28"/>
      <c r="H173" s="28"/>
    </row>
    <row r="174">
      <c r="A174" s="28"/>
      <c r="B174" s="28"/>
      <c r="C174" s="28"/>
      <c r="D174" s="28"/>
      <c r="E174" s="28"/>
      <c r="F174" s="28"/>
      <c r="G174" s="28"/>
      <c r="H174" s="28"/>
    </row>
    <row r="175">
      <c r="A175" s="28"/>
      <c r="B175" s="28"/>
      <c r="C175" s="28"/>
      <c r="D175" s="28"/>
      <c r="E175" s="28"/>
      <c r="F175" s="28"/>
      <c r="G175" s="28"/>
      <c r="H175" s="28"/>
    </row>
    <row r="176">
      <c r="A176" s="28"/>
      <c r="B176" s="28"/>
      <c r="C176" s="28"/>
      <c r="D176" s="28"/>
      <c r="E176" s="28"/>
      <c r="F176" s="28"/>
      <c r="G176" s="28"/>
      <c r="H176" s="28"/>
    </row>
    <row r="177">
      <c r="A177" s="28"/>
      <c r="B177" s="28"/>
      <c r="C177" s="28"/>
      <c r="D177" s="28"/>
      <c r="E177" s="28"/>
      <c r="F177" s="28"/>
      <c r="G177" s="28"/>
      <c r="H177" s="28"/>
    </row>
    <row r="178">
      <c r="A178" s="28"/>
      <c r="B178" s="28"/>
      <c r="C178" s="28"/>
      <c r="D178" s="28"/>
      <c r="E178" s="28"/>
      <c r="F178" s="28"/>
      <c r="G178" s="28"/>
      <c r="H178" s="28"/>
    </row>
    <row r="179">
      <c r="A179" s="28"/>
      <c r="B179" s="28"/>
      <c r="C179" s="28"/>
      <c r="D179" s="28"/>
      <c r="E179" s="28"/>
      <c r="F179" s="28"/>
      <c r="G179" s="28"/>
      <c r="H179" s="28"/>
    </row>
    <row r="180">
      <c r="A180" s="28"/>
      <c r="B180" s="28"/>
      <c r="C180" s="28"/>
      <c r="D180" s="28"/>
      <c r="E180" s="28"/>
      <c r="F180" s="28"/>
      <c r="G180" s="28"/>
      <c r="H180" s="28"/>
    </row>
    <row r="181">
      <c r="A181" s="28"/>
      <c r="B181" s="28"/>
      <c r="C181" s="28"/>
      <c r="D181" s="28"/>
      <c r="E181" s="28"/>
      <c r="F181" s="28"/>
      <c r="G181" s="28"/>
      <c r="H181" s="28"/>
    </row>
    <row r="182">
      <c r="A182" s="28"/>
      <c r="B182" s="28"/>
      <c r="C182" s="28"/>
      <c r="D182" s="28"/>
      <c r="E182" s="28"/>
      <c r="F182" s="28"/>
      <c r="G182" s="28"/>
      <c r="H182" s="28"/>
    </row>
    <row r="183">
      <c r="A183" s="28"/>
      <c r="B183" s="28"/>
      <c r="C183" s="28"/>
      <c r="D183" s="28"/>
      <c r="E183" s="28"/>
      <c r="F183" s="28"/>
      <c r="G183" s="28"/>
      <c r="H183" s="28"/>
    </row>
    <row r="184">
      <c r="A184" s="28"/>
      <c r="B184" s="28"/>
      <c r="C184" s="28"/>
      <c r="D184" s="28"/>
      <c r="E184" s="28"/>
      <c r="F184" s="28"/>
      <c r="G184" s="28"/>
      <c r="H184" s="28"/>
    </row>
    <row r="185">
      <c r="A185" s="28"/>
      <c r="B185" s="28"/>
      <c r="C185" s="28"/>
      <c r="D185" s="28"/>
      <c r="E185" s="28"/>
      <c r="F185" s="28"/>
      <c r="G185" s="28"/>
      <c r="H185" s="28"/>
    </row>
    <row r="186">
      <c r="A186" s="28"/>
      <c r="B186" s="28"/>
      <c r="C186" s="28"/>
      <c r="D186" s="28"/>
      <c r="E186" s="28"/>
      <c r="F186" s="28"/>
      <c r="G186" s="28"/>
      <c r="H186" s="28"/>
    </row>
    <row r="187">
      <c r="A187" s="28"/>
      <c r="B187" s="28"/>
      <c r="C187" s="28"/>
      <c r="D187" s="28"/>
      <c r="E187" s="28"/>
      <c r="F187" s="28"/>
      <c r="G187" s="28"/>
      <c r="H187" s="28"/>
    </row>
    <row r="188">
      <c r="A188" s="28"/>
      <c r="B188" s="28"/>
      <c r="C188" s="28"/>
      <c r="D188" s="28"/>
      <c r="E188" s="28"/>
      <c r="F188" s="28"/>
      <c r="G188" s="28"/>
      <c r="H188" s="28"/>
    </row>
    <row r="189">
      <c r="A189" s="28"/>
      <c r="B189" s="28"/>
      <c r="C189" s="28"/>
      <c r="D189" s="28"/>
      <c r="E189" s="28"/>
      <c r="F189" s="28"/>
      <c r="G189" s="28"/>
      <c r="H189" s="28"/>
    </row>
    <row r="190">
      <c r="A190" s="28"/>
      <c r="B190" s="28"/>
      <c r="C190" s="28"/>
      <c r="D190" s="28"/>
      <c r="E190" s="28"/>
      <c r="F190" s="28"/>
      <c r="G190" s="28"/>
      <c r="H190" s="28"/>
    </row>
    <row r="191">
      <c r="A191" s="28"/>
      <c r="B191" s="28"/>
      <c r="C191" s="28"/>
      <c r="D191" s="28"/>
      <c r="E191" s="28"/>
      <c r="F191" s="28"/>
      <c r="G191" s="28"/>
      <c r="H191" s="28"/>
    </row>
    <row r="192">
      <c r="A192" s="28"/>
      <c r="B192" s="28"/>
      <c r="C192" s="28"/>
      <c r="D192" s="28"/>
      <c r="E192" s="28"/>
      <c r="F192" s="28"/>
      <c r="G192" s="28"/>
      <c r="H192" s="28"/>
    </row>
    <row r="193">
      <c r="A193" s="28"/>
      <c r="B193" s="28"/>
      <c r="C193" s="28"/>
      <c r="D193" s="28"/>
      <c r="E193" s="28"/>
      <c r="F193" s="28"/>
      <c r="G193" s="28"/>
      <c r="H193" s="28"/>
    </row>
    <row r="194">
      <c r="A194" s="28"/>
      <c r="B194" s="28"/>
      <c r="C194" s="28"/>
      <c r="D194" s="28"/>
      <c r="E194" s="28"/>
      <c r="F194" s="28"/>
      <c r="G194" s="28"/>
      <c r="H194" s="28"/>
    </row>
    <row r="195">
      <c r="A195" s="28"/>
      <c r="B195" s="28"/>
      <c r="C195" s="28"/>
      <c r="D195" s="28"/>
      <c r="E195" s="28"/>
      <c r="F195" s="28"/>
      <c r="G195" s="28"/>
      <c r="H195" s="28"/>
    </row>
    <row r="196">
      <c r="A196" s="28"/>
      <c r="B196" s="28"/>
      <c r="C196" s="28"/>
      <c r="D196" s="28"/>
      <c r="E196" s="28"/>
      <c r="F196" s="28"/>
      <c r="G196" s="28"/>
      <c r="H196" s="28"/>
    </row>
    <row r="197">
      <c r="A197" s="28"/>
      <c r="B197" s="28"/>
      <c r="C197" s="28"/>
      <c r="D197" s="28"/>
      <c r="E197" s="28"/>
      <c r="F197" s="28"/>
      <c r="G197" s="28"/>
      <c r="H197" s="28"/>
    </row>
    <row r="198">
      <c r="A198" s="28"/>
      <c r="B198" s="28"/>
      <c r="C198" s="28"/>
      <c r="D198" s="28"/>
      <c r="E198" s="28"/>
      <c r="F198" s="28"/>
      <c r="G198" s="28"/>
      <c r="H198" s="28"/>
    </row>
    <row r="199">
      <c r="A199" s="28"/>
      <c r="B199" s="28"/>
      <c r="C199" s="28"/>
      <c r="D199" s="28"/>
      <c r="E199" s="28"/>
      <c r="F199" s="28"/>
      <c r="G199" s="28"/>
      <c r="H199" s="28"/>
    </row>
    <row r="200">
      <c r="A200" s="28"/>
      <c r="B200" s="28"/>
      <c r="C200" s="28"/>
      <c r="D200" s="28"/>
      <c r="E200" s="28"/>
      <c r="F200" s="28"/>
      <c r="G200" s="28"/>
      <c r="H200" s="28"/>
    </row>
    <row r="201">
      <c r="A201" s="28"/>
      <c r="B201" s="28"/>
      <c r="C201" s="28"/>
      <c r="D201" s="28"/>
      <c r="E201" s="28"/>
      <c r="F201" s="28"/>
      <c r="G201" s="28"/>
      <c r="H201" s="28"/>
    </row>
    <row r="202">
      <c r="A202" s="28"/>
      <c r="B202" s="28"/>
      <c r="C202" s="28"/>
      <c r="D202" s="28"/>
      <c r="E202" s="28"/>
      <c r="F202" s="28"/>
      <c r="G202" s="28"/>
      <c r="H202" s="28"/>
    </row>
    <row r="203">
      <c r="A203" s="28"/>
      <c r="B203" s="28"/>
      <c r="C203" s="28"/>
      <c r="D203" s="28"/>
      <c r="E203" s="28"/>
      <c r="F203" s="28"/>
      <c r="G203" s="28"/>
      <c r="H203" s="28"/>
    </row>
    <row r="204">
      <c r="A204" s="28"/>
      <c r="B204" s="28"/>
      <c r="C204" s="28"/>
      <c r="D204" s="28"/>
      <c r="E204" s="28"/>
      <c r="F204" s="28"/>
      <c r="G204" s="28"/>
      <c r="H204" s="28"/>
    </row>
    <row r="205">
      <c r="A205" s="28"/>
      <c r="B205" s="28"/>
      <c r="C205" s="28"/>
      <c r="D205" s="28"/>
      <c r="E205" s="28"/>
      <c r="F205" s="28"/>
      <c r="G205" s="28"/>
      <c r="H205" s="28"/>
    </row>
    <row r="206">
      <c r="A206" s="28"/>
      <c r="B206" s="28"/>
      <c r="C206" s="28"/>
      <c r="D206" s="28"/>
      <c r="E206" s="28"/>
      <c r="F206" s="28"/>
      <c r="G206" s="28"/>
      <c r="H206" s="28"/>
    </row>
    <row r="207">
      <c r="A207" s="28"/>
      <c r="B207" s="28"/>
      <c r="C207" s="28"/>
      <c r="D207" s="28"/>
      <c r="E207" s="28"/>
      <c r="F207" s="28"/>
      <c r="G207" s="28"/>
      <c r="H207" s="28"/>
    </row>
    <row r="208">
      <c r="A208" s="28"/>
      <c r="B208" s="28"/>
      <c r="C208" s="28"/>
      <c r="D208" s="28"/>
      <c r="E208" s="28"/>
      <c r="F208" s="28"/>
      <c r="G208" s="28"/>
      <c r="H208" s="28"/>
    </row>
    <row r="209">
      <c r="A209" s="28"/>
      <c r="B209" s="28"/>
      <c r="C209" s="28"/>
      <c r="D209" s="28"/>
      <c r="E209" s="28"/>
      <c r="F209" s="28"/>
      <c r="G209" s="28"/>
      <c r="H209" s="28"/>
    </row>
    <row r="210">
      <c r="A210" s="28"/>
      <c r="B210" s="28"/>
      <c r="C210" s="28"/>
      <c r="D210" s="28"/>
      <c r="E210" s="28"/>
      <c r="F210" s="28"/>
      <c r="G210" s="28"/>
      <c r="H210" s="28"/>
    </row>
    <row r="211">
      <c r="A211" s="28"/>
      <c r="B211" s="28"/>
      <c r="C211" s="28"/>
      <c r="D211" s="28"/>
      <c r="E211" s="28"/>
      <c r="F211" s="28"/>
      <c r="G211" s="28"/>
      <c r="H211" s="28"/>
    </row>
    <row r="212">
      <c r="A212" s="28"/>
      <c r="B212" s="28"/>
      <c r="C212" s="28"/>
      <c r="D212" s="28"/>
      <c r="E212" s="28"/>
      <c r="F212" s="28"/>
      <c r="G212" s="28"/>
      <c r="H212" s="28"/>
    </row>
    <row r="213">
      <c r="A213" s="28"/>
      <c r="B213" s="28"/>
      <c r="C213" s="28"/>
      <c r="D213" s="28"/>
      <c r="E213" s="28"/>
      <c r="F213" s="28"/>
      <c r="G213" s="28"/>
      <c r="H213" s="28"/>
    </row>
    <row r="214">
      <c r="A214" s="28"/>
      <c r="B214" s="28"/>
      <c r="C214" s="28"/>
      <c r="D214" s="28"/>
      <c r="E214" s="28"/>
      <c r="F214" s="28"/>
      <c r="G214" s="28"/>
      <c r="H214" s="28"/>
    </row>
    <row r="215">
      <c r="A215" s="28"/>
      <c r="B215" s="28"/>
      <c r="C215" s="28"/>
      <c r="D215" s="28"/>
      <c r="E215" s="28"/>
      <c r="F215" s="28"/>
      <c r="G215" s="28"/>
      <c r="H215" s="28"/>
    </row>
    <row r="216">
      <c r="A216" s="28"/>
      <c r="B216" s="28"/>
      <c r="C216" s="28"/>
      <c r="D216" s="28"/>
      <c r="E216" s="28"/>
      <c r="F216" s="28"/>
      <c r="G216" s="28"/>
      <c r="H216" s="28"/>
    </row>
    <row r="217">
      <c r="A217" s="28"/>
      <c r="B217" s="28"/>
      <c r="C217" s="28"/>
      <c r="D217" s="28"/>
      <c r="E217" s="28"/>
      <c r="F217" s="28"/>
      <c r="G217" s="28"/>
      <c r="H217" s="28"/>
    </row>
    <row r="218">
      <c r="A218" s="28"/>
      <c r="B218" s="28"/>
      <c r="C218" s="28"/>
      <c r="D218" s="28"/>
      <c r="E218" s="28"/>
      <c r="F218" s="28"/>
      <c r="G218" s="28"/>
      <c r="H218" s="28"/>
    </row>
    <row r="219">
      <c r="A219" s="28"/>
      <c r="B219" s="28"/>
      <c r="C219" s="28"/>
      <c r="D219" s="28"/>
      <c r="E219" s="28"/>
      <c r="F219" s="28"/>
      <c r="G219" s="28"/>
      <c r="H219" s="28"/>
    </row>
    <row r="220">
      <c r="A220" s="28"/>
      <c r="B220" s="28"/>
      <c r="C220" s="28"/>
      <c r="D220" s="28"/>
      <c r="E220" s="28"/>
      <c r="F220" s="28"/>
      <c r="G220" s="28"/>
      <c r="H220" s="28"/>
    </row>
    <row r="221">
      <c r="A221" s="28"/>
      <c r="B221" s="28"/>
      <c r="C221" s="28"/>
      <c r="D221" s="28"/>
      <c r="E221" s="28"/>
      <c r="F221" s="28"/>
      <c r="G221" s="28"/>
      <c r="H221" s="28"/>
    </row>
    <row r="222">
      <c r="A222" s="28"/>
      <c r="B222" s="28"/>
      <c r="C222" s="28"/>
      <c r="D222" s="28"/>
      <c r="E222" s="28"/>
      <c r="F222" s="28"/>
      <c r="G222" s="28"/>
      <c r="H222" s="28"/>
    </row>
    <row r="223">
      <c r="A223" s="28"/>
      <c r="B223" s="28"/>
      <c r="C223" s="28"/>
      <c r="D223" s="28"/>
      <c r="E223" s="28"/>
      <c r="F223" s="28"/>
      <c r="G223" s="28"/>
      <c r="H223" s="28"/>
    </row>
    <row r="224">
      <c r="A224" s="28"/>
      <c r="B224" s="28"/>
      <c r="C224" s="28"/>
      <c r="D224" s="28"/>
      <c r="E224" s="28"/>
      <c r="F224" s="28"/>
      <c r="G224" s="28"/>
      <c r="H224" s="28"/>
    </row>
    <row r="225">
      <c r="A225" s="28"/>
      <c r="B225" s="28"/>
      <c r="C225" s="28"/>
      <c r="D225" s="28"/>
      <c r="E225" s="28"/>
      <c r="F225" s="28"/>
      <c r="G225" s="28"/>
      <c r="H225" s="28"/>
    </row>
    <row r="226">
      <c r="A226" s="28"/>
      <c r="B226" s="28"/>
      <c r="C226" s="28"/>
      <c r="D226" s="28"/>
      <c r="E226" s="28"/>
      <c r="F226" s="28"/>
      <c r="G226" s="28"/>
      <c r="H226" s="28"/>
    </row>
    <row r="227">
      <c r="A227" s="28"/>
      <c r="B227" s="28"/>
      <c r="C227" s="28"/>
      <c r="D227" s="28"/>
      <c r="E227" s="28"/>
      <c r="F227" s="28"/>
      <c r="G227" s="28"/>
      <c r="H227" s="28"/>
    </row>
    <row r="228">
      <c r="A228" s="28"/>
      <c r="B228" s="28"/>
      <c r="C228" s="28"/>
      <c r="D228" s="28"/>
      <c r="E228" s="28"/>
      <c r="F228" s="28"/>
      <c r="G228" s="28"/>
      <c r="H228" s="28"/>
    </row>
    <row r="229">
      <c r="A229" s="28"/>
      <c r="B229" s="28"/>
      <c r="C229" s="28"/>
      <c r="D229" s="28"/>
      <c r="E229" s="28"/>
      <c r="F229" s="28"/>
      <c r="G229" s="28"/>
      <c r="H229" s="28"/>
    </row>
    <row r="230">
      <c r="A230" s="28"/>
      <c r="B230" s="28"/>
      <c r="C230" s="28"/>
      <c r="D230" s="28"/>
      <c r="E230" s="28"/>
      <c r="F230" s="28"/>
      <c r="G230" s="28"/>
      <c r="H230" s="28"/>
    </row>
    <row r="231">
      <c r="A231" s="28"/>
      <c r="B231" s="28"/>
      <c r="C231" s="28"/>
      <c r="D231" s="28"/>
      <c r="E231" s="28"/>
      <c r="F231" s="28"/>
      <c r="G231" s="28"/>
      <c r="H231" s="28"/>
    </row>
    <row r="232">
      <c r="A232" s="28"/>
      <c r="B232" s="28"/>
      <c r="C232" s="28"/>
      <c r="D232" s="28"/>
      <c r="E232" s="28"/>
      <c r="F232" s="28"/>
      <c r="G232" s="28"/>
      <c r="H232" s="28"/>
    </row>
    <row r="233">
      <c r="A233" s="28"/>
      <c r="B233" s="28"/>
      <c r="C233" s="28"/>
      <c r="D233" s="28"/>
      <c r="E233" s="28"/>
      <c r="F233" s="28"/>
      <c r="G233" s="28"/>
      <c r="H233" s="28"/>
    </row>
    <row r="234">
      <c r="A234" s="28"/>
      <c r="B234" s="28"/>
      <c r="C234" s="28"/>
      <c r="D234" s="28"/>
      <c r="E234" s="28"/>
      <c r="F234" s="28"/>
      <c r="G234" s="28"/>
      <c r="H234" s="28"/>
    </row>
    <row r="235">
      <c r="A235" s="28"/>
      <c r="B235" s="28"/>
      <c r="C235" s="28"/>
      <c r="D235" s="28"/>
      <c r="E235" s="28"/>
      <c r="F235" s="28"/>
      <c r="G235" s="28"/>
      <c r="H235" s="28"/>
    </row>
    <row r="236">
      <c r="A236" s="28"/>
      <c r="B236" s="28"/>
      <c r="C236" s="28"/>
      <c r="D236" s="28"/>
      <c r="E236" s="28"/>
      <c r="F236" s="28"/>
      <c r="G236" s="28"/>
      <c r="H236" s="28"/>
    </row>
    <row r="237">
      <c r="A237" s="28"/>
      <c r="B237" s="28"/>
      <c r="C237" s="28"/>
      <c r="D237" s="28"/>
      <c r="E237" s="28"/>
      <c r="F237" s="28"/>
      <c r="G237" s="28"/>
      <c r="H237" s="28"/>
    </row>
    <row r="238">
      <c r="A238" s="28"/>
      <c r="B238" s="28"/>
      <c r="C238" s="28"/>
      <c r="D238" s="28"/>
      <c r="E238" s="28"/>
      <c r="F238" s="28"/>
      <c r="G238" s="28"/>
      <c r="H238" s="28"/>
    </row>
    <row r="239">
      <c r="A239" s="28"/>
      <c r="B239" s="28"/>
      <c r="C239" s="28"/>
      <c r="D239" s="28"/>
      <c r="E239" s="28"/>
      <c r="F239" s="28"/>
      <c r="G239" s="28"/>
      <c r="H239" s="28"/>
    </row>
    <row r="240">
      <c r="A240" s="28"/>
      <c r="B240" s="28"/>
      <c r="C240" s="28"/>
      <c r="D240" s="28"/>
      <c r="E240" s="28"/>
      <c r="F240" s="28"/>
      <c r="G240" s="28"/>
      <c r="H240" s="28"/>
    </row>
    <row r="241">
      <c r="A241" s="28"/>
      <c r="B241" s="28"/>
      <c r="C241" s="28"/>
      <c r="D241" s="28"/>
      <c r="E241" s="28"/>
      <c r="F241" s="28"/>
      <c r="G241" s="28"/>
      <c r="H241" s="28"/>
    </row>
    <row r="242">
      <c r="A242" s="28"/>
      <c r="B242" s="28"/>
      <c r="C242" s="28"/>
      <c r="D242" s="28"/>
      <c r="E242" s="28"/>
      <c r="F242" s="28"/>
      <c r="G242" s="28"/>
      <c r="H242" s="28"/>
    </row>
    <row r="243">
      <c r="A243" s="28"/>
      <c r="B243" s="28"/>
      <c r="C243" s="28"/>
      <c r="D243" s="28"/>
      <c r="E243" s="28"/>
      <c r="F243" s="28"/>
      <c r="G243" s="28"/>
      <c r="H243" s="28"/>
    </row>
    <row r="244">
      <c r="A244" s="28"/>
      <c r="B244" s="28"/>
      <c r="C244" s="28"/>
      <c r="D244" s="28"/>
      <c r="E244" s="28"/>
      <c r="F244" s="28"/>
      <c r="G244" s="28"/>
      <c r="H244" s="28"/>
    </row>
    <row r="245">
      <c r="A245" s="28"/>
      <c r="B245" s="28"/>
      <c r="C245" s="28"/>
      <c r="D245" s="28"/>
      <c r="E245" s="28"/>
      <c r="F245" s="28"/>
      <c r="G245" s="28"/>
      <c r="H245" s="28"/>
    </row>
    <row r="246">
      <c r="A246" s="28"/>
      <c r="B246" s="28"/>
      <c r="C246" s="28"/>
      <c r="D246" s="28"/>
      <c r="E246" s="28"/>
      <c r="F246" s="28"/>
      <c r="G246" s="28"/>
      <c r="H246" s="28"/>
    </row>
    <row r="247">
      <c r="A247" s="28"/>
      <c r="B247" s="28"/>
      <c r="C247" s="28"/>
      <c r="D247" s="28"/>
      <c r="E247" s="28"/>
      <c r="F247" s="28"/>
      <c r="G247" s="28"/>
      <c r="H247" s="28"/>
    </row>
    <row r="248">
      <c r="A248" s="28"/>
      <c r="B248" s="28"/>
      <c r="C248" s="28"/>
      <c r="D248" s="28"/>
      <c r="E248" s="28"/>
      <c r="F248" s="28"/>
      <c r="G248" s="28"/>
      <c r="H248" s="28"/>
    </row>
    <row r="249">
      <c r="A249" s="28"/>
      <c r="B249" s="28"/>
      <c r="C249" s="28"/>
      <c r="D249" s="28"/>
      <c r="E249" s="28"/>
      <c r="F249" s="28"/>
      <c r="G249" s="28"/>
      <c r="H249" s="28"/>
    </row>
    <row r="250">
      <c r="A250" s="28"/>
      <c r="B250" s="28"/>
      <c r="C250" s="28"/>
      <c r="D250" s="28"/>
      <c r="E250" s="28"/>
      <c r="F250" s="28"/>
      <c r="G250" s="28"/>
      <c r="H250" s="28"/>
    </row>
    <row r="251">
      <c r="A251" s="28"/>
      <c r="B251" s="28"/>
      <c r="C251" s="28"/>
      <c r="D251" s="28"/>
      <c r="E251" s="28"/>
      <c r="F251" s="28"/>
      <c r="G251" s="28"/>
      <c r="H251" s="28"/>
    </row>
    <row r="252">
      <c r="A252" s="28"/>
      <c r="B252" s="28"/>
      <c r="C252" s="28"/>
      <c r="D252" s="28"/>
      <c r="E252" s="28"/>
      <c r="F252" s="28"/>
      <c r="G252" s="28"/>
      <c r="H252" s="28"/>
    </row>
    <row r="253">
      <c r="A253" s="28"/>
      <c r="B253" s="28"/>
      <c r="C253" s="28"/>
      <c r="D253" s="28"/>
      <c r="E253" s="28"/>
      <c r="F253" s="28"/>
      <c r="G253" s="28"/>
      <c r="H253" s="28"/>
    </row>
    <row r="254">
      <c r="A254" s="28"/>
      <c r="B254" s="28"/>
      <c r="C254" s="28"/>
      <c r="D254" s="28"/>
      <c r="E254" s="28"/>
      <c r="F254" s="28"/>
      <c r="G254" s="28"/>
      <c r="H254" s="28"/>
    </row>
    <row r="255">
      <c r="A255" s="28"/>
      <c r="B255" s="28"/>
      <c r="C255" s="28"/>
      <c r="D255" s="28"/>
      <c r="E255" s="28"/>
      <c r="F255" s="28"/>
      <c r="G255" s="28"/>
      <c r="H255" s="28"/>
    </row>
    <row r="256">
      <c r="A256" s="28"/>
      <c r="B256" s="28"/>
      <c r="C256" s="28"/>
      <c r="D256" s="28"/>
      <c r="E256" s="28"/>
      <c r="F256" s="28"/>
      <c r="G256" s="28"/>
      <c r="H256" s="28"/>
    </row>
    <row r="257">
      <c r="A257" s="28"/>
      <c r="B257" s="28"/>
      <c r="C257" s="28"/>
      <c r="D257" s="28"/>
      <c r="E257" s="28"/>
      <c r="F257" s="28"/>
      <c r="G257" s="28"/>
      <c r="H257" s="28"/>
    </row>
    <row r="258">
      <c r="A258" s="28"/>
      <c r="B258" s="28"/>
      <c r="C258" s="28"/>
      <c r="D258" s="28"/>
      <c r="E258" s="28"/>
      <c r="F258" s="28"/>
      <c r="G258" s="28"/>
      <c r="H258" s="28"/>
    </row>
    <row r="259">
      <c r="A259" s="28"/>
      <c r="B259" s="28"/>
      <c r="C259" s="28"/>
      <c r="D259" s="28"/>
      <c r="E259" s="28"/>
      <c r="F259" s="28"/>
      <c r="G259" s="28"/>
      <c r="H259" s="28"/>
    </row>
    <row r="260">
      <c r="A260" s="28"/>
      <c r="B260" s="28"/>
      <c r="C260" s="28"/>
      <c r="D260" s="28"/>
      <c r="E260" s="28"/>
      <c r="F260" s="28"/>
      <c r="G260" s="28"/>
      <c r="H260" s="28"/>
    </row>
    <row r="261">
      <c r="A261" s="28"/>
      <c r="B261" s="28"/>
      <c r="C261" s="28"/>
      <c r="D261" s="28"/>
      <c r="E261" s="28"/>
      <c r="F261" s="28"/>
      <c r="G261" s="28"/>
      <c r="H261" s="28"/>
    </row>
    <row r="262">
      <c r="A262" s="28"/>
      <c r="B262" s="28"/>
      <c r="C262" s="28"/>
      <c r="D262" s="28"/>
      <c r="E262" s="28"/>
      <c r="F262" s="28"/>
      <c r="G262" s="28"/>
      <c r="H262" s="28"/>
    </row>
    <row r="263">
      <c r="A263" s="28"/>
      <c r="B263" s="28"/>
      <c r="C263" s="28"/>
      <c r="D263" s="28"/>
      <c r="E263" s="28"/>
      <c r="F263" s="28"/>
      <c r="G263" s="28"/>
      <c r="H263" s="28"/>
    </row>
    <row r="264">
      <c r="A264" s="28"/>
      <c r="B264" s="28"/>
      <c r="C264" s="28"/>
      <c r="D264" s="28"/>
      <c r="E264" s="28"/>
      <c r="F264" s="28"/>
      <c r="G264" s="28"/>
      <c r="H264" s="28"/>
    </row>
    <row r="265">
      <c r="A265" s="28"/>
      <c r="B265" s="28"/>
      <c r="C265" s="28"/>
      <c r="D265" s="28"/>
      <c r="E265" s="28"/>
      <c r="F265" s="28"/>
      <c r="G265" s="28"/>
      <c r="H265" s="28"/>
    </row>
    <row r="266">
      <c r="A266" s="28"/>
      <c r="B266" s="28"/>
      <c r="C266" s="28"/>
      <c r="D266" s="28"/>
      <c r="E266" s="28"/>
      <c r="F266" s="28"/>
      <c r="G266" s="28"/>
      <c r="H266" s="28"/>
    </row>
    <row r="267">
      <c r="A267" s="28"/>
      <c r="B267" s="28"/>
      <c r="C267" s="28"/>
      <c r="D267" s="28"/>
      <c r="E267" s="28"/>
      <c r="F267" s="28"/>
      <c r="G267" s="28"/>
      <c r="H267" s="28"/>
    </row>
    <row r="268">
      <c r="A268" s="28"/>
      <c r="B268" s="28"/>
      <c r="C268" s="28"/>
      <c r="D268" s="28"/>
      <c r="E268" s="28"/>
      <c r="F268" s="28"/>
      <c r="G268" s="28"/>
      <c r="H268" s="28"/>
    </row>
    <row r="269">
      <c r="A269" s="28"/>
      <c r="B269" s="28"/>
      <c r="C269" s="28"/>
      <c r="D269" s="28"/>
      <c r="E269" s="28"/>
      <c r="F269" s="28"/>
      <c r="G269" s="28"/>
      <c r="H269" s="28"/>
    </row>
    <row r="270">
      <c r="A270" s="28"/>
      <c r="B270" s="28"/>
      <c r="C270" s="28"/>
      <c r="D270" s="28"/>
      <c r="E270" s="28"/>
      <c r="F270" s="28"/>
      <c r="G270" s="28"/>
      <c r="H270" s="28"/>
    </row>
    <row r="271">
      <c r="A271" s="28"/>
      <c r="B271" s="28"/>
      <c r="C271" s="28"/>
      <c r="D271" s="28"/>
      <c r="E271" s="28"/>
      <c r="F271" s="28"/>
      <c r="G271" s="28"/>
      <c r="H271" s="28"/>
    </row>
    <row r="272">
      <c r="A272" s="28"/>
      <c r="B272" s="28"/>
      <c r="C272" s="28"/>
      <c r="D272" s="28"/>
      <c r="E272" s="28"/>
      <c r="F272" s="28"/>
      <c r="G272" s="28"/>
      <c r="H272" s="28"/>
    </row>
    <row r="273">
      <c r="A273" s="28"/>
      <c r="B273" s="28"/>
      <c r="C273" s="28"/>
      <c r="D273" s="28"/>
      <c r="E273" s="28"/>
      <c r="F273" s="28"/>
      <c r="G273" s="28"/>
      <c r="H273" s="28"/>
    </row>
    <row r="274">
      <c r="A274" s="28"/>
      <c r="B274" s="28"/>
      <c r="C274" s="28"/>
      <c r="D274" s="28"/>
      <c r="E274" s="28"/>
      <c r="F274" s="28"/>
      <c r="G274" s="28"/>
      <c r="H274" s="28"/>
    </row>
    <row r="275">
      <c r="A275" s="28"/>
      <c r="B275" s="28"/>
      <c r="C275" s="28"/>
      <c r="D275" s="28"/>
      <c r="E275" s="28"/>
      <c r="F275" s="28"/>
      <c r="G275" s="28"/>
      <c r="H275" s="28"/>
    </row>
    <row r="276">
      <c r="A276" s="28"/>
      <c r="B276" s="28"/>
      <c r="C276" s="28"/>
      <c r="D276" s="28"/>
      <c r="E276" s="28"/>
      <c r="F276" s="28"/>
      <c r="G276" s="28"/>
      <c r="H276" s="28"/>
    </row>
    <row r="277">
      <c r="A277" s="28"/>
      <c r="B277" s="28"/>
      <c r="C277" s="28"/>
      <c r="D277" s="28"/>
      <c r="E277" s="28"/>
      <c r="F277" s="28"/>
      <c r="G277" s="28"/>
      <c r="H277" s="28"/>
    </row>
    <row r="278">
      <c r="A278" s="28"/>
      <c r="B278" s="28"/>
      <c r="C278" s="28"/>
      <c r="D278" s="28"/>
      <c r="E278" s="28"/>
      <c r="F278" s="28"/>
      <c r="G278" s="28"/>
      <c r="H278" s="28"/>
    </row>
    <row r="279">
      <c r="A279" s="28"/>
      <c r="B279" s="28"/>
      <c r="C279" s="28"/>
      <c r="D279" s="28"/>
      <c r="E279" s="28"/>
      <c r="F279" s="28"/>
      <c r="G279" s="28"/>
      <c r="H279" s="28"/>
    </row>
    <row r="280">
      <c r="A280" s="28"/>
      <c r="B280" s="28"/>
      <c r="C280" s="28"/>
      <c r="D280" s="28"/>
      <c r="E280" s="28"/>
      <c r="F280" s="28"/>
      <c r="G280" s="28"/>
      <c r="H280" s="28"/>
    </row>
    <row r="281">
      <c r="A281" s="28"/>
      <c r="B281" s="28"/>
      <c r="C281" s="28"/>
      <c r="D281" s="28"/>
      <c r="E281" s="28"/>
      <c r="F281" s="28"/>
      <c r="G281" s="28"/>
      <c r="H281" s="28"/>
    </row>
    <row r="282">
      <c r="A282" s="28"/>
      <c r="B282" s="28"/>
      <c r="C282" s="28"/>
      <c r="D282" s="28"/>
      <c r="E282" s="28"/>
      <c r="F282" s="28"/>
      <c r="G282" s="28"/>
      <c r="H282" s="28"/>
    </row>
    <row r="283">
      <c r="A283" s="28"/>
      <c r="B283" s="28"/>
      <c r="C283" s="28"/>
      <c r="D283" s="28"/>
      <c r="E283" s="28"/>
      <c r="F283" s="28"/>
      <c r="G283" s="28"/>
      <c r="H283" s="28"/>
    </row>
    <row r="284">
      <c r="A284" s="28"/>
      <c r="B284" s="28"/>
      <c r="C284" s="28"/>
      <c r="D284" s="28"/>
      <c r="E284" s="28"/>
      <c r="F284" s="28"/>
      <c r="G284" s="28"/>
      <c r="H284" s="28"/>
    </row>
    <row r="285">
      <c r="A285" s="28"/>
      <c r="B285" s="28"/>
      <c r="C285" s="28"/>
      <c r="D285" s="28"/>
      <c r="E285" s="28"/>
      <c r="F285" s="28"/>
      <c r="G285" s="28"/>
      <c r="H285" s="28"/>
    </row>
    <row r="286">
      <c r="A286" s="28"/>
      <c r="B286" s="28"/>
      <c r="C286" s="28"/>
      <c r="D286" s="28"/>
      <c r="E286" s="28"/>
      <c r="F286" s="28"/>
      <c r="G286" s="28"/>
      <c r="H286" s="28"/>
    </row>
    <row r="287">
      <c r="A287" s="28"/>
      <c r="B287" s="28"/>
      <c r="C287" s="28"/>
      <c r="D287" s="28"/>
      <c r="E287" s="28"/>
      <c r="F287" s="28"/>
      <c r="G287" s="28"/>
      <c r="H287" s="28"/>
    </row>
    <row r="288">
      <c r="A288" s="28"/>
      <c r="B288" s="28"/>
      <c r="C288" s="28"/>
      <c r="D288" s="28"/>
      <c r="E288" s="28"/>
      <c r="F288" s="28"/>
      <c r="G288" s="28"/>
      <c r="H288" s="28"/>
    </row>
    <row r="289">
      <c r="A289" s="28"/>
      <c r="B289" s="28"/>
      <c r="C289" s="28"/>
      <c r="D289" s="28"/>
      <c r="E289" s="28"/>
      <c r="F289" s="28"/>
      <c r="G289" s="28"/>
      <c r="H289" s="28"/>
    </row>
    <row r="290">
      <c r="A290" s="28"/>
      <c r="B290" s="28"/>
      <c r="C290" s="28"/>
      <c r="D290" s="28"/>
      <c r="E290" s="28"/>
      <c r="F290" s="28"/>
      <c r="G290" s="28"/>
      <c r="H290" s="28"/>
    </row>
    <row r="291">
      <c r="A291" s="28"/>
      <c r="B291" s="28"/>
      <c r="C291" s="28"/>
      <c r="D291" s="28"/>
      <c r="E291" s="28"/>
      <c r="F291" s="28"/>
      <c r="G291" s="28"/>
      <c r="H291" s="28"/>
    </row>
    <row r="292">
      <c r="A292" s="28"/>
      <c r="B292" s="28"/>
      <c r="C292" s="28"/>
      <c r="D292" s="28"/>
      <c r="E292" s="28"/>
      <c r="F292" s="28"/>
      <c r="G292" s="28"/>
      <c r="H292" s="28"/>
    </row>
    <row r="293">
      <c r="A293" s="28"/>
      <c r="B293" s="28"/>
      <c r="C293" s="28"/>
      <c r="D293" s="28"/>
      <c r="E293" s="28"/>
      <c r="F293" s="28"/>
      <c r="G293" s="28"/>
      <c r="H293" s="28"/>
    </row>
    <row r="294">
      <c r="A294" s="28"/>
      <c r="B294" s="28"/>
      <c r="C294" s="28"/>
      <c r="D294" s="28"/>
      <c r="E294" s="28"/>
      <c r="F294" s="28"/>
      <c r="G294" s="28"/>
      <c r="H294" s="28"/>
    </row>
    <row r="295">
      <c r="A295" s="28"/>
      <c r="B295" s="28"/>
      <c r="C295" s="28"/>
      <c r="D295" s="28"/>
      <c r="E295" s="28"/>
      <c r="F295" s="28"/>
      <c r="G295" s="28"/>
      <c r="H295" s="28"/>
    </row>
    <row r="296">
      <c r="A296" s="28"/>
      <c r="B296" s="28"/>
      <c r="C296" s="28"/>
      <c r="D296" s="28"/>
      <c r="E296" s="28"/>
      <c r="F296" s="28"/>
      <c r="G296" s="28"/>
      <c r="H296" s="28"/>
    </row>
    <row r="297">
      <c r="A297" s="28"/>
      <c r="B297" s="28"/>
      <c r="C297" s="28"/>
      <c r="D297" s="28"/>
      <c r="E297" s="28"/>
      <c r="F297" s="28"/>
      <c r="G297" s="28"/>
      <c r="H297" s="28"/>
    </row>
    <row r="298">
      <c r="A298" s="28"/>
      <c r="B298" s="28"/>
      <c r="C298" s="28"/>
      <c r="D298" s="28"/>
      <c r="E298" s="28"/>
      <c r="F298" s="28"/>
      <c r="G298" s="28"/>
      <c r="H298" s="28"/>
    </row>
    <row r="299">
      <c r="A299" s="28"/>
      <c r="B299" s="28"/>
      <c r="C299" s="28"/>
      <c r="D299" s="28"/>
      <c r="E299" s="28"/>
      <c r="F299" s="28"/>
      <c r="G299" s="28"/>
      <c r="H299" s="28"/>
    </row>
    <row r="300">
      <c r="A300" s="28"/>
      <c r="B300" s="28"/>
      <c r="C300" s="28"/>
      <c r="D300" s="28"/>
      <c r="E300" s="28"/>
      <c r="F300" s="28"/>
      <c r="G300" s="28"/>
      <c r="H300" s="28"/>
    </row>
    <row r="301">
      <c r="A301" s="28"/>
      <c r="B301" s="28"/>
      <c r="C301" s="28"/>
      <c r="D301" s="28"/>
      <c r="E301" s="28"/>
      <c r="F301" s="28"/>
      <c r="G301" s="28"/>
      <c r="H301" s="28"/>
    </row>
    <row r="302">
      <c r="A302" s="28"/>
      <c r="B302" s="28"/>
      <c r="C302" s="28"/>
      <c r="D302" s="28"/>
      <c r="E302" s="28"/>
      <c r="F302" s="28"/>
      <c r="G302" s="28"/>
      <c r="H302" s="28"/>
    </row>
    <row r="303">
      <c r="A303" s="28"/>
      <c r="B303" s="28"/>
      <c r="C303" s="28"/>
      <c r="D303" s="28"/>
      <c r="E303" s="28"/>
      <c r="F303" s="28"/>
      <c r="G303" s="28"/>
      <c r="H303" s="28"/>
    </row>
    <row r="304">
      <c r="A304" s="28"/>
      <c r="B304" s="28"/>
      <c r="C304" s="28"/>
      <c r="D304" s="28"/>
      <c r="E304" s="28"/>
      <c r="F304" s="28"/>
      <c r="G304" s="28"/>
      <c r="H304" s="28"/>
    </row>
    <row r="305">
      <c r="A305" s="28"/>
      <c r="B305" s="28"/>
      <c r="C305" s="28"/>
      <c r="D305" s="28"/>
      <c r="E305" s="28"/>
      <c r="F305" s="28"/>
      <c r="G305" s="28"/>
      <c r="H305" s="28"/>
    </row>
    <row r="306">
      <c r="A306" s="28"/>
      <c r="B306" s="28"/>
      <c r="C306" s="28"/>
      <c r="D306" s="28"/>
      <c r="E306" s="28"/>
      <c r="F306" s="28"/>
      <c r="G306" s="28"/>
      <c r="H306" s="28"/>
    </row>
    <row r="307">
      <c r="A307" s="28"/>
      <c r="B307" s="28"/>
      <c r="C307" s="28"/>
      <c r="D307" s="28"/>
      <c r="E307" s="28"/>
      <c r="F307" s="28"/>
      <c r="G307" s="28"/>
      <c r="H307" s="28"/>
    </row>
    <row r="308">
      <c r="A308" s="28"/>
      <c r="B308" s="28"/>
      <c r="C308" s="28"/>
      <c r="D308" s="28"/>
      <c r="E308" s="28"/>
      <c r="F308" s="28"/>
      <c r="G308" s="28"/>
      <c r="H308" s="28"/>
    </row>
    <row r="309">
      <c r="A309" s="28"/>
      <c r="B309" s="28"/>
      <c r="C309" s="28"/>
      <c r="D309" s="28"/>
      <c r="E309" s="28"/>
      <c r="F309" s="28"/>
      <c r="G309" s="28"/>
      <c r="H309" s="28"/>
    </row>
    <row r="310">
      <c r="A310" s="28"/>
      <c r="B310" s="28"/>
      <c r="C310" s="28"/>
      <c r="D310" s="28"/>
      <c r="E310" s="28"/>
      <c r="F310" s="28"/>
      <c r="G310" s="28"/>
      <c r="H310" s="28"/>
    </row>
    <row r="311">
      <c r="A311" s="28"/>
      <c r="B311" s="28"/>
      <c r="C311" s="28"/>
      <c r="D311" s="28"/>
      <c r="E311" s="28"/>
      <c r="F311" s="28"/>
      <c r="G311" s="28"/>
      <c r="H311" s="28"/>
    </row>
    <row r="312">
      <c r="A312" s="28"/>
      <c r="B312" s="28"/>
      <c r="C312" s="28"/>
      <c r="D312" s="28"/>
      <c r="E312" s="28"/>
      <c r="F312" s="28"/>
      <c r="G312" s="28"/>
      <c r="H312" s="28"/>
    </row>
    <row r="313">
      <c r="A313" s="28"/>
      <c r="B313" s="28"/>
      <c r="C313" s="28"/>
      <c r="D313" s="28"/>
      <c r="E313" s="28"/>
      <c r="F313" s="28"/>
      <c r="G313" s="28"/>
      <c r="H313" s="28"/>
    </row>
    <row r="314">
      <c r="A314" s="28"/>
      <c r="B314" s="28"/>
      <c r="C314" s="28"/>
      <c r="D314" s="28"/>
      <c r="E314" s="28"/>
      <c r="F314" s="28"/>
      <c r="G314" s="28"/>
      <c r="H314" s="28"/>
    </row>
    <row r="315">
      <c r="A315" s="28"/>
      <c r="B315" s="28"/>
      <c r="C315" s="28"/>
      <c r="D315" s="28"/>
      <c r="E315" s="28"/>
      <c r="F315" s="28"/>
      <c r="G315" s="28"/>
      <c r="H315" s="28"/>
    </row>
    <row r="316">
      <c r="A316" s="28"/>
      <c r="B316" s="28"/>
      <c r="C316" s="28"/>
      <c r="D316" s="28"/>
      <c r="E316" s="28"/>
      <c r="F316" s="28"/>
      <c r="G316" s="28"/>
      <c r="H316" s="28"/>
    </row>
    <row r="317">
      <c r="A317" s="28"/>
      <c r="B317" s="28"/>
      <c r="C317" s="28"/>
      <c r="D317" s="28"/>
      <c r="E317" s="28"/>
      <c r="F317" s="28"/>
      <c r="G317" s="28"/>
      <c r="H317" s="28"/>
    </row>
    <row r="318">
      <c r="A318" s="28"/>
      <c r="B318" s="28"/>
      <c r="C318" s="28"/>
      <c r="D318" s="28"/>
      <c r="E318" s="28"/>
      <c r="F318" s="28"/>
      <c r="G318" s="28"/>
      <c r="H318" s="28"/>
    </row>
    <row r="319">
      <c r="A319" s="28"/>
      <c r="B319" s="28"/>
      <c r="C319" s="28"/>
      <c r="D319" s="28"/>
      <c r="E319" s="28"/>
      <c r="F319" s="28"/>
      <c r="G319" s="28"/>
      <c r="H319" s="28"/>
    </row>
    <row r="320">
      <c r="A320" s="28"/>
      <c r="B320" s="28"/>
      <c r="C320" s="28"/>
      <c r="D320" s="28"/>
      <c r="E320" s="28"/>
      <c r="F320" s="28"/>
      <c r="G320" s="28"/>
      <c r="H320" s="28"/>
    </row>
    <row r="321">
      <c r="A321" s="28"/>
      <c r="B321" s="28"/>
      <c r="C321" s="28"/>
      <c r="D321" s="28"/>
      <c r="E321" s="28"/>
      <c r="F321" s="28"/>
      <c r="G321" s="28"/>
      <c r="H321" s="28"/>
    </row>
    <row r="322">
      <c r="A322" s="28"/>
      <c r="B322" s="28"/>
      <c r="C322" s="28"/>
      <c r="D322" s="28"/>
      <c r="E322" s="28"/>
      <c r="F322" s="28"/>
      <c r="G322" s="28"/>
      <c r="H322" s="28"/>
    </row>
    <row r="323">
      <c r="A323" s="28"/>
      <c r="B323" s="28"/>
      <c r="C323" s="28"/>
      <c r="D323" s="28"/>
      <c r="E323" s="28"/>
      <c r="F323" s="28"/>
      <c r="G323" s="28"/>
      <c r="H323" s="28"/>
    </row>
    <row r="324">
      <c r="A324" s="28"/>
      <c r="B324" s="28"/>
      <c r="C324" s="28"/>
      <c r="D324" s="28"/>
      <c r="E324" s="28"/>
      <c r="F324" s="28"/>
      <c r="G324" s="28"/>
      <c r="H324" s="28"/>
    </row>
    <row r="325">
      <c r="A325" s="28"/>
      <c r="B325" s="28"/>
      <c r="C325" s="28"/>
      <c r="D325" s="28"/>
      <c r="E325" s="28"/>
      <c r="F325" s="28"/>
      <c r="G325" s="28"/>
      <c r="H325" s="28"/>
    </row>
    <row r="326">
      <c r="A326" s="28"/>
      <c r="B326" s="28"/>
      <c r="C326" s="28"/>
      <c r="D326" s="28"/>
      <c r="E326" s="28"/>
      <c r="F326" s="28"/>
      <c r="G326" s="28"/>
      <c r="H326" s="28"/>
    </row>
    <row r="327">
      <c r="A327" s="28"/>
      <c r="B327" s="28"/>
      <c r="C327" s="28"/>
      <c r="D327" s="28"/>
      <c r="E327" s="28"/>
      <c r="F327" s="28"/>
      <c r="G327" s="28"/>
      <c r="H327" s="28"/>
    </row>
    <row r="328">
      <c r="A328" s="28"/>
      <c r="B328" s="28"/>
      <c r="C328" s="28"/>
      <c r="D328" s="28"/>
      <c r="E328" s="28"/>
      <c r="F328" s="28"/>
      <c r="G328" s="28"/>
      <c r="H328" s="28"/>
    </row>
    <row r="329">
      <c r="A329" s="28"/>
      <c r="B329" s="28"/>
      <c r="C329" s="28"/>
      <c r="D329" s="28"/>
      <c r="E329" s="28"/>
      <c r="F329" s="28"/>
      <c r="G329" s="28"/>
      <c r="H329" s="28"/>
    </row>
    <row r="330">
      <c r="A330" s="28"/>
      <c r="B330" s="28"/>
      <c r="C330" s="28"/>
      <c r="D330" s="28"/>
      <c r="E330" s="28"/>
      <c r="F330" s="28"/>
      <c r="G330" s="28"/>
      <c r="H330" s="28"/>
    </row>
    <row r="331">
      <c r="A331" s="28"/>
      <c r="B331" s="28"/>
      <c r="C331" s="28"/>
      <c r="D331" s="28"/>
      <c r="E331" s="28"/>
      <c r="F331" s="28"/>
      <c r="G331" s="28"/>
      <c r="H331" s="28"/>
    </row>
    <row r="332">
      <c r="A332" s="28"/>
      <c r="B332" s="28"/>
      <c r="C332" s="28"/>
      <c r="D332" s="28"/>
      <c r="E332" s="28"/>
      <c r="F332" s="28"/>
      <c r="G332" s="28"/>
      <c r="H332" s="28"/>
    </row>
    <row r="333">
      <c r="A333" s="28"/>
      <c r="B333" s="28"/>
      <c r="C333" s="28"/>
      <c r="D333" s="28"/>
      <c r="E333" s="28"/>
      <c r="F333" s="28"/>
      <c r="G333" s="28"/>
      <c r="H333" s="28"/>
    </row>
    <row r="334">
      <c r="A334" s="28"/>
      <c r="B334" s="28"/>
      <c r="C334" s="28"/>
      <c r="D334" s="28"/>
      <c r="E334" s="28"/>
      <c r="F334" s="28"/>
      <c r="G334" s="28"/>
      <c r="H334" s="28"/>
    </row>
    <row r="335">
      <c r="A335" s="28"/>
      <c r="B335" s="28"/>
      <c r="C335" s="28"/>
      <c r="D335" s="28"/>
      <c r="E335" s="28"/>
      <c r="F335" s="28"/>
      <c r="G335" s="28"/>
      <c r="H335" s="28"/>
    </row>
    <row r="336">
      <c r="A336" s="28"/>
      <c r="B336" s="28"/>
      <c r="C336" s="28"/>
      <c r="D336" s="28"/>
      <c r="E336" s="28"/>
      <c r="F336" s="28"/>
      <c r="G336" s="28"/>
      <c r="H336" s="28"/>
    </row>
    <row r="337">
      <c r="A337" s="28"/>
      <c r="B337" s="28"/>
      <c r="C337" s="28"/>
      <c r="D337" s="28"/>
      <c r="E337" s="28"/>
      <c r="F337" s="28"/>
      <c r="G337" s="28"/>
      <c r="H337" s="28"/>
    </row>
    <row r="338">
      <c r="A338" s="28"/>
      <c r="B338" s="28"/>
      <c r="C338" s="28"/>
      <c r="D338" s="28"/>
      <c r="E338" s="28"/>
      <c r="F338" s="28"/>
      <c r="G338" s="28"/>
      <c r="H338" s="28"/>
    </row>
    <row r="339">
      <c r="A339" s="28"/>
      <c r="B339" s="28"/>
      <c r="C339" s="28"/>
      <c r="D339" s="28"/>
      <c r="E339" s="28"/>
      <c r="F339" s="28"/>
      <c r="G339" s="28"/>
      <c r="H339" s="28"/>
    </row>
    <row r="340">
      <c r="A340" s="28"/>
      <c r="B340" s="28"/>
      <c r="C340" s="28"/>
      <c r="D340" s="28"/>
      <c r="E340" s="28"/>
      <c r="F340" s="28"/>
      <c r="G340" s="28"/>
      <c r="H340" s="28"/>
    </row>
    <row r="341">
      <c r="A341" s="28"/>
      <c r="B341" s="28"/>
      <c r="C341" s="28"/>
      <c r="D341" s="28"/>
      <c r="E341" s="28"/>
      <c r="F341" s="28"/>
      <c r="G341" s="28"/>
      <c r="H341" s="28"/>
    </row>
    <row r="342">
      <c r="A342" s="28"/>
      <c r="B342" s="28"/>
      <c r="C342" s="28"/>
      <c r="D342" s="28"/>
      <c r="E342" s="28"/>
      <c r="F342" s="28"/>
      <c r="G342" s="28"/>
      <c r="H342" s="28"/>
    </row>
    <row r="343">
      <c r="A343" s="28"/>
      <c r="B343" s="28"/>
      <c r="C343" s="28"/>
      <c r="D343" s="28"/>
      <c r="E343" s="28"/>
      <c r="F343" s="28"/>
      <c r="G343" s="28"/>
      <c r="H343" s="28"/>
    </row>
    <row r="344">
      <c r="A344" s="28"/>
      <c r="B344" s="28"/>
      <c r="C344" s="28"/>
      <c r="D344" s="28"/>
      <c r="E344" s="28"/>
      <c r="F344" s="28"/>
      <c r="G344" s="28"/>
      <c r="H344" s="28"/>
    </row>
    <row r="345">
      <c r="A345" s="28"/>
      <c r="B345" s="28"/>
      <c r="C345" s="28"/>
      <c r="D345" s="28"/>
      <c r="E345" s="28"/>
      <c r="F345" s="28"/>
      <c r="G345" s="28"/>
      <c r="H345" s="28"/>
    </row>
    <row r="346">
      <c r="A346" s="28"/>
      <c r="B346" s="28"/>
      <c r="C346" s="28"/>
      <c r="D346" s="28"/>
      <c r="E346" s="28"/>
      <c r="F346" s="28"/>
      <c r="G346" s="28"/>
      <c r="H346" s="28"/>
    </row>
    <row r="347">
      <c r="A347" s="28"/>
      <c r="B347" s="28"/>
      <c r="C347" s="28"/>
      <c r="D347" s="28"/>
      <c r="E347" s="28"/>
      <c r="F347" s="28"/>
      <c r="G347" s="28"/>
      <c r="H347" s="28"/>
    </row>
    <row r="348">
      <c r="A348" s="28"/>
      <c r="B348" s="28"/>
      <c r="C348" s="28"/>
      <c r="D348" s="28"/>
      <c r="E348" s="28"/>
      <c r="F348" s="28"/>
      <c r="G348" s="28"/>
      <c r="H348" s="28"/>
    </row>
    <row r="349">
      <c r="A349" s="28"/>
      <c r="B349" s="28"/>
      <c r="C349" s="28"/>
      <c r="D349" s="28"/>
      <c r="E349" s="28"/>
      <c r="F349" s="28"/>
      <c r="G349" s="28"/>
      <c r="H349" s="28"/>
    </row>
    <row r="350">
      <c r="A350" s="28"/>
      <c r="B350" s="28"/>
      <c r="C350" s="28"/>
      <c r="D350" s="28"/>
      <c r="E350" s="28"/>
      <c r="F350" s="28"/>
      <c r="G350" s="28"/>
      <c r="H350" s="28"/>
    </row>
    <row r="351">
      <c r="A351" s="28"/>
      <c r="B351" s="28"/>
      <c r="C351" s="28"/>
      <c r="D351" s="28"/>
      <c r="E351" s="28"/>
      <c r="F351" s="28"/>
      <c r="G351" s="28"/>
      <c r="H351" s="28"/>
    </row>
    <row r="352">
      <c r="A352" s="28"/>
      <c r="B352" s="28"/>
      <c r="C352" s="28"/>
      <c r="D352" s="28"/>
      <c r="E352" s="28"/>
      <c r="F352" s="28"/>
      <c r="G352" s="28"/>
      <c r="H352" s="28"/>
    </row>
    <row r="353">
      <c r="A353" s="28"/>
      <c r="B353" s="28"/>
      <c r="C353" s="28"/>
      <c r="D353" s="28"/>
      <c r="E353" s="28"/>
      <c r="F353" s="28"/>
      <c r="G353" s="28"/>
      <c r="H353" s="28"/>
    </row>
    <row r="354">
      <c r="A354" s="28"/>
      <c r="B354" s="28"/>
      <c r="C354" s="28"/>
      <c r="D354" s="28"/>
      <c r="E354" s="28"/>
      <c r="F354" s="28"/>
      <c r="G354" s="28"/>
      <c r="H354" s="28"/>
    </row>
    <row r="355">
      <c r="A355" s="28"/>
      <c r="B355" s="28"/>
      <c r="C355" s="28"/>
      <c r="D355" s="28"/>
      <c r="E355" s="28"/>
      <c r="F355" s="28"/>
      <c r="G355" s="28"/>
      <c r="H355" s="28"/>
    </row>
    <row r="356">
      <c r="A356" s="28"/>
      <c r="B356" s="28"/>
      <c r="C356" s="28"/>
      <c r="D356" s="28"/>
      <c r="E356" s="28"/>
      <c r="F356" s="28"/>
      <c r="G356" s="28"/>
      <c r="H356" s="28"/>
    </row>
    <row r="357">
      <c r="A357" s="28"/>
      <c r="B357" s="28"/>
      <c r="C357" s="28"/>
      <c r="D357" s="28"/>
      <c r="E357" s="28"/>
      <c r="F357" s="28"/>
      <c r="G357" s="28"/>
      <c r="H357" s="28"/>
    </row>
    <row r="358">
      <c r="A358" s="28"/>
      <c r="B358" s="28"/>
      <c r="C358" s="28"/>
      <c r="D358" s="28"/>
      <c r="E358" s="28"/>
      <c r="F358" s="28"/>
      <c r="G358" s="28"/>
      <c r="H358" s="28"/>
    </row>
    <row r="359">
      <c r="A359" s="28"/>
      <c r="B359" s="28"/>
      <c r="C359" s="28"/>
      <c r="D359" s="28"/>
      <c r="E359" s="28"/>
      <c r="F359" s="28"/>
      <c r="G359" s="28"/>
      <c r="H359" s="28"/>
    </row>
    <row r="360">
      <c r="A360" s="28"/>
      <c r="B360" s="28"/>
      <c r="C360" s="28"/>
      <c r="D360" s="28"/>
      <c r="E360" s="28"/>
      <c r="F360" s="28"/>
      <c r="G360" s="28"/>
      <c r="H360" s="28"/>
    </row>
    <row r="361">
      <c r="A361" s="28"/>
      <c r="B361" s="28"/>
      <c r="C361" s="28"/>
      <c r="D361" s="28"/>
      <c r="E361" s="28"/>
      <c r="F361" s="28"/>
      <c r="G361" s="28"/>
      <c r="H361" s="28"/>
    </row>
    <row r="362">
      <c r="A362" s="28"/>
      <c r="B362" s="28"/>
      <c r="C362" s="28"/>
      <c r="D362" s="28"/>
      <c r="E362" s="28"/>
      <c r="F362" s="28"/>
      <c r="G362" s="28"/>
      <c r="H362" s="28"/>
    </row>
    <row r="363">
      <c r="A363" s="28"/>
      <c r="B363" s="28"/>
      <c r="C363" s="28"/>
      <c r="D363" s="28"/>
      <c r="E363" s="28"/>
      <c r="F363" s="28"/>
      <c r="G363" s="28"/>
      <c r="H363" s="28"/>
    </row>
    <row r="364">
      <c r="A364" s="28"/>
      <c r="B364" s="28"/>
      <c r="C364" s="28"/>
      <c r="D364" s="28"/>
      <c r="E364" s="28"/>
      <c r="F364" s="28"/>
      <c r="G364" s="28"/>
      <c r="H364" s="28"/>
    </row>
    <row r="365">
      <c r="A365" s="28"/>
      <c r="B365" s="28"/>
      <c r="C365" s="28"/>
      <c r="D365" s="28"/>
      <c r="E365" s="28"/>
      <c r="F365" s="28"/>
      <c r="G365" s="28"/>
      <c r="H365" s="28"/>
    </row>
    <row r="366">
      <c r="A366" s="28"/>
      <c r="B366" s="28"/>
      <c r="C366" s="28"/>
      <c r="D366" s="28"/>
      <c r="E366" s="28"/>
      <c r="F366" s="28"/>
      <c r="G366" s="28"/>
      <c r="H366" s="28"/>
    </row>
    <row r="367">
      <c r="A367" s="28"/>
      <c r="B367" s="28"/>
      <c r="C367" s="28"/>
      <c r="D367" s="28"/>
      <c r="E367" s="28"/>
      <c r="F367" s="28"/>
      <c r="G367" s="28"/>
      <c r="H367" s="28"/>
    </row>
    <row r="368">
      <c r="A368" s="28"/>
      <c r="B368" s="28"/>
      <c r="C368" s="28"/>
      <c r="D368" s="28"/>
      <c r="E368" s="28"/>
      <c r="F368" s="28"/>
      <c r="G368" s="28"/>
      <c r="H368" s="28"/>
    </row>
    <row r="369">
      <c r="A369" s="28"/>
      <c r="B369" s="28"/>
      <c r="C369" s="28"/>
      <c r="D369" s="28"/>
      <c r="E369" s="28"/>
      <c r="F369" s="28"/>
      <c r="G369" s="28"/>
      <c r="H369" s="28"/>
    </row>
    <row r="370">
      <c r="A370" s="28"/>
      <c r="B370" s="28"/>
      <c r="C370" s="28"/>
      <c r="D370" s="28"/>
      <c r="E370" s="28"/>
      <c r="F370" s="28"/>
      <c r="G370" s="28"/>
      <c r="H370" s="28"/>
    </row>
    <row r="371">
      <c r="A371" s="28"/>
      <c r="B371" s="28"/>
      <c r="C371" s="28"/>
      <c r="D371" s="28"/>
      <c r="E371" s="28"/>
      <c r="F371" s="28"/>
      <c r="G371" s="28"/>
      <c r="H371" s="28"/>
    </row>
    <row r="372">
      <c r="A372" s="28"/>
      <c r="B372" s="28"/>
      <c r="C372" s="28"/>
      <c r="D372" s="28"/>
      <c r="E372" s="28"/>
      <c r="F372" s="28"/>
      <c r="G372" s="28"/>
      <c r="H372" s="28"/>
    </row>
    <row r="373">
      <c r="A373" s="28"/>
      <c r="B373" s="28"/>
      <c r="C373" s="28"/>
      <c r="D373" s="28"/>
      <c r="E373" s="28"/>
      <c r="F373" s="28"/>
      <c r="G373" s="28"/>
      <c r="H373" s="28"/>
    </row>
    <row r="374">
      <c r="A374" s="28"/>
      <c r="B374" s="28"/>
      <c r="C374" s="28"/>
      <c r="D374" s="28"/>
      <c r="E374" s="28"/>
      <c r="F374" s="28"/>
      <c r="G374" s="28"/>
      <c r="H374" s="28"/>
    </row>
    <row r="375">
      <c r="A375" s="28"/>
      <c r="B375" s="28"/>
      <c r="C375" s="28"/>
      <c r="D375" s="28"/>
      <c r="E375" s="28"/>
      <c r="F375" s="28"/>
      <c r="G375" s="28"/>
      <c r="H375" s="28"/>
    </row>
    <row r="376">
      <c r="A376" s="28"/>
      <c r="B376" s="28"/>
      <c r="C376" s="28"/>
      <c r="D376" s="28"/>
      <c r="E376" s="28"/>
      <c r="F376" s="28"/>
      <c r="G376" s="28"/>
      <c r="H376" s="28"/>
    </row>
    <row r="377">
      <c r="A377" s="28"/>
      <c r="B377" s="28"/>
      <c r="C377" s="28"/>
      <c r="D377" s="28"/>
      <c r="E377" s="28"/>
      <c r="F377" s="28"/>
      <c r="G377" s="28"/>
      <c r="H377" s="28"/>
    </row>
    <row r="378">
      <c r="A378" s="28"/>
      <c r="B378" s="28"/>
      <c r="C378" s="28"/>
      <c r="D378" s="28"/>
      <c r="E378" s="28"/>
      <c r="F378" s="28"/>
      <c r="G378" s="28"/>
      <c r="H378" s="28"/>
    </row>
    <row r="379">
      <c r="A379" s="28"/>
      <c r="B379" s="28"/>
      <c r="C379" s="28"/>
      <c r="D379" s="28"/>
      <c r="E379" s="28"/>
      <c r="F379" s="28"/>
      <c r="G379" s="28"/>
      <c r="H379" s="28"/>
    </row>
    <row r="380">
      <c r="A380" s="28"/>
      <c r="B380" s="28"/>
      <c r="C380" s="28"/>
      <c r="D380" s="28"/>
      <c r="E380" s="28"/>
      <c r="F380" s="28"/>
      <c r="G380" s="28"/>
      <c r="H380" s="28"/>
    </row>
    <row r="381">
      <c r="A381" s="28"/>
      <c r="B381" s="28"/>
      <c r="C381" s="28"/>
      <c r="D381" s="28"/>
      <c r="E381" s="28"/>
      <c r="F381" s="28"/>
      <c r="G381" s="28"/>
      <c r="H381" s="28"/>
    </row>
    <row r="382">
      <c r="A382" s="28"/>
      <c r="B382" s="28"/>
      <c r="C382" s="28"/>
      <c r="D382" s="28"/>
      <c r="E382" s="28"/>
      <c r="F382" s="28"/>
      <c r="G382" s="28"/>
      <c r="H382" s="28"/>
    </row>
    <row r="383">
      <c r="A383" s="28"/>
      <c r="B383" s="28"/>
      <c r="C383" s="28"/>
      <c r="D383" s="28"/>
      <c r="E383" s="28"/>
      <c r="F383" s="28"/>
      <c r="G383" s="28"/>
      <c r="H383" s="28"/>
    </row>
    <row r="384">
      <c r="A384" s="28"/>
      <c r="B384" s="28"/>
      <c r="C384" s="28"/>
      <c r="D384" s="28"/>
      <c r="E384" s="28"/>
      <c r="F384" s="28"/>
      <c r="G384" s="28"/>
      <c r="H384" s="28"/>
    </row>
    <row r="385">
      <c r="A385" s="28"/>
      <c r="B385" s="28"/>
      <c r="C385" s="28"/>
      <c r="D385" s="28"/>
      <c r="E385" s="28"/>
      <c r="F385" s="28"/>
      <c r="G385" s="28"/>
      <c r="H385" s="28"/>
    </row>
    <row r="386">
      <c r="A386" s="28"/>
      <c r="B386" s="28"/>
      <c r="C386" s="28"/>
      <c r="D386" s="28"/>
      <c r="E386" s="28"/>
      <c r="F386" s="28"/>
      <c r="G386" s="28"/>
      <c r="H386" s="28"/>
    </row>
    <row r="387">
      <c r="A387" s="28"/>
      <c r="B387" s="28"/>
      <c r="C387" s="28"/>
      <c r="D387" s="28"/>
      <c r="E387" s="28"/>
      <c r="F387" s="28"/>
      <c r="G387" s="28"/>
      <c r="H387" s="28"/>
    </row>
    <row r="388">
      <c r="A388" s="28"/>
      <c r="B388" s="28"/>
      <c r="C388" s="28"/>
      <c r="D388" s="28"/>
      <c r="E388" s="28"/>
      <c r="F388" s="28"/>
      <c r="G388" s="28"/>
      <c r="H388" s="28"/>
    </row>
    <row r="389">
      <c r="A389" s="28"/>
      <c r="B389" s="28"/>
      <c r="C389" s="28"/>
      <c r="D389" s="28"/>
      <c r="E389" s="28"/>
      <c r="F389" s="28"/>
      <c r="G389" s="28"/>
      <c r="H389" s="28"/>
    </row>
    <row r="390">
      <c r="A390" s="28"/>
      <c r="B390" s="28"/>
      <c r="C390" s="28"/>
      <c r="D390" s="28"/>
      <c r="E390" s="28"/>
      <c r="F390" s="28"/>
      <c r="G390" s="28"/>
      <c r="H390" s="28"/>
    </row>
    <row r="391">
      <c r="A391" s="28"/>
      <c r="B391" s="28"/>
      <c r="C391" s="28"/>
      <c r="D391" s="28"/>
      <c r="E391" s="28"/>
      <c r="F391" s="28"/>
      <c r="G391" s="28"/>
      <c r="H391" s="28"/>
    </row>
    <row r="392">
      <c r="A392" s="28"/>
      <c r="B392" s="28"/>
      <c r="C392" s="28"/>
      <c r="D392" s="28"/>
      <c r="E392" s="28"/>
      <c r="F392" s="28"/>
      <c r="G392" s="28"/>
      <c r="H392" s="28"/>
    </row>
    <row r="393">
      <c r="A393" s="28"/>
      <c r="B393" s="28"/>
      <c r="C393" s="28"/>
      <c r="D393" s="28"/>
      <c r="E393" s="28"/>
      <c r="F393" s="28"/>
      <c r="G393" s="28"/>
      <c r="H393" s="28"/>
    </row>
    <row r="394">
      <c r="A394" s="28"/>
      <c r="B394" s="28"/>
      <c r="C394" s="28"/>
      <c r="D394" s="28"/>
      <c r="E394" s="28"/>
      <c r="F394" s="28"/>
      <c r="G394" s="28"/>
      <c r="H394" s="28"/>
    </row>
    <row r="395">
      <c r="A395" s="28"/>
      <c r="B395" s="28"/>
      <c r="C395" s="28"/>
      <c r="D395" s="28"/>
      <c r="E395" s="28"/>
      <c r="F395" s="28"/>
      <c r="G395" s="28"/>
      <c r="H395" s="28"/>
    </row>
    <row r="396">
      <c r="A396" s="28"/>
      <c r="B396" s="28"/>
      <c r="C396" s="28"/>
      <c r="D396" s="28"/>
      <c r="E396" s="28"/>
      <c r="F396" s="28"/>
      <c r="G396" s="28"/>
      <c r="H396" s="28"/>
    </row>
    <row r="397">
      <c r="A397" s="28"/>
      <c r="B397" s="28"/>
      <c r="C397" s="28"/>
      <c r="D397" s="28"/>
      <c r="E397" s="28"/>
      <c r="F397" s="28"/>
      <c r="G397" s="28"/>
      <c r="H397" s="28"/>
    </row>
    <row r="398">
      <c r="A398" s="28"/>
      <c r="B398" s="28"/>
      <c r="C398" s="28"/>
      <c r="D398" s="28"/>
      <c r="E398" s="28"/>
      <c r="F398" s="28"/>
      <c r="G398" s="28"/>
      <c r="H398" s="28"/>
    </row>
    <row r="399">
      <c r="A399" s="28"/>
      <c r="B399" s="28"/>
      <c r="C399" s="28"/>
      <c r="D399" s="28"/>
      <c r="E399" s="28"/>
      <c r="F399" s="28"/>
      <c r="G399" s="28"/>
      <c r="H399" s="28"/>
    </row>
    <row r="400">
      <c r="A400" s="28"/>
      <c r="B400" s="28"/>
      <c r="C400" s="28"/>
      <c r="D400" s="28"/>
      <c r="E400" s="28"/>
      <c r="F400" s="28"/>
      <c r="G400" s="28"/>
      <c r="H400" s="28"/>
    </row>
    <row r="401">
      <c r="A401" s="28"/>
      <c r="B401" s="28"/>
      <c r="C401" s="28"/>
      <c r="D401" s="28"/>
      <c r="E401" s="28"/>
      <c r="F401" s="28"/>
      <c r="G401" s="28"/>
      <c r="H401" s="28"/>
    </row>
    <row r="402">
      <c r="A402" s="28"/>
      <c r="B402" s="28"/>
      <c r="C402" s="28"/>
      <c r="D402" s="28"/>
      <c r="E402" s="28"/>
      <c r="F402" s="28"/>
      <c r="G402" s="28"/>
      <c r="H402" s="28"/>
    </row>
    <row r="403">
      <c r="A403" s="28"/>
      <c r="B403" s="28"/>
      <c r="C403" s="28"/>
      <c r="D403" s="28"/>
      <c r="E403" s="28"/>
      <c r="F403" s="28"/>
      <c r="G403" s="28"/>
      <c r="H403" s="28"/>
    </row>
    <row r="404">
      <c r="A404" s="28"/>
      <c r="B404" s="28"/>
      <c r="C404" s="28"/>
      <c r="D404" s="28"/>
      <c r="E404" s="28"/>
      <c r="F404" s="28"/>
      <c r="G404" s="28"/>
      <c r="H404" s="28"/>
    </row>
    <row r="405">
      <c r="A405" s="28"/>
      <c r="B405" s="28"/>
      <c r="C405" s="28"/>
      <c r="D405" s="28"/>
      <c r="E405" s="28"/>
      <c r="F405" s="28"/>
      <c r="G405" s="28"/>
      <c r="H405" s="28"/>
    </row>
    <row r="406">
      <c r="A406" s="28"/>
      <c r="B406" s="28"/>
      <c r="C406" s="28"/>
      <c r="D406" s="28"/>
      <c r="E406" s="28"/>
      <c r="F406" s="28"/>
      <c r="G406" s="28"/>
      <c r="H406" s="28"/>
    </row>
    <row r="407">
      <c r="A407" s="28"/>
      <c r="B407" s="28"/>
      <c r="C407" s="28"/>
      <c r="D407" s="28"/>
      <c r="E407" s="28"/>
      <c r="F407" s="28"/>
      <c r="G407" s="28"/>
      <c r="H407" s="28"/>
    </row>
    <row r="408">
      <c r="A408" s="28"/>
      <c r="B408" s="28"/>
      <c r="C408" s="28"/>
      <c r="D408" s="28"/>
      <c r="E408" s="28"/>
      <c r="F408" s="28"/>
      <c r="G408" s="28"/>
      <c r="H408" s="28"/>
    </row>
    <row r="409">
      <c r="A409" s="28"/>
      <c r="B409" s="28"/>
      <c r="C409" s="28"/>
      <c r="D409" s="28"/>
      <c r="E409" s="28"/>
      <c r="F409" s="28"/>
      <c r="G409" s="28"/>
      <c r="H409" s="28"/>
    </row>
    <row r="410">
      <c r="A410" s="28"/>
      <c r="B410" s="28"/>
      <c r="C410" s="28"/>
      <c r="D410" s="28"/>
      <c r="E410" s="28"/>
      <c r="F410" s="28"/>
      <c r="G410" s="28"/>
      <c r="H410" s="28"/>
    </row>
    <row r="411">
      <c r="A411" s="28"/>
      <c r="B411" s="28"/>
      <c r="C411" s="28"/>
      <c r="D411" s="28"/>
      <c r="E411" s="28"/>
      <c r="F411" s="28"/>
      <c r="G411" s="28"/>
      <c r="H411" s="28"/>
    </row>
    <row r="412">
      <c r="A412" s="28"/>
      <c r="B412" s="28"/>
      <c r="C412" s="28"/>
      <c r="D412" s="28"/>
      <c r="E412" s="28"/>
      <c r="F412" s="28"/>
      <c r="G412" s="28"/>
      <c r="H412" s="28"/>
    </row>
    <row r="413">
      <c r="A413" s="28"/>
      <c r="B413" s="28"/>
      <c r="C413" s="28"/>
      <c r="D413" s="28"/>
      <c r="E413" s="28"/>
      <c r="F413" s="28"/>
      <c r="G413" s="28"/>
      <c r="H413" s="28"/>
    </row>
    <row r="414">
      <c r="A414" s="28"/>
      <c r="B414" s="28"/>
      <c r="C414" s="28"/>
      <c r="D414" s="28"/>
      <c r="E414" s="28"/>
      <c r="F414" s="28"/>
      <c r="G414" s="28"/>
      <c r="H414" s="28"/>
    </row>
    <row r="415">
      <c r="A415" s="28"/>
      <c r="B415" s="28"/>
      <c r="C415" s="28"/>
      <c r="D415" s="28"/>
      <c r="E415" s="28"/>
      <c r="F415" s="28"/>
      <c r="G415" s="28"/>
      <c r="H415" s="28"/>
    </row>
    <row r="416">
      <c r="A416" s="28"/>
      <c r="B416" s="28"/>
      <c r="C416" s="28"/>
      <c r="D416" s="28"/>
      <c r="E416" s="28"/>
      <c r="F416" s="28"/>
      <c r="G416" s="28"/>
      <c r="H416" s="28"/>
    </row>
    <row r="417">
      <c r="A417" s="28"/>
      <c r="B417" s="28"/>
      <c r="C417" s="28"/>
      <c r="D417" s="28"/>
      <c r="E417" s="28"/>
      <c r="F417" s="28"/>
      <c r="G417" s="28"/>
      <c r="H417" s="28"/>
    </row>
    <row r="418">
      <c r="A418" s="28"/>
      <c r="B418" s="28"/>
      <c r="C418" s="28"/>
      <c r="D418" s="28"/>
      <c r="E418" s="28"/>
      <c r="F418" s="28"/>
      <c r="G418" s="28"/>
      <c r="H418" s="28"/>
    </row>
    <row r="419">
      <c r="A419" s="28"/>
      <c r="B419" s="28"/>
      <c r="C419" s="28"/>
      <c r="D419" s="28"/>
      <c r="E419" s="28"/>
      <c r="F419" s="28"/>
      <c r="G419" s="28"/>
      <c r="H419" s="28"/>
    </row>
    <row r="420">
      <c r="A420" s="28"/>
      <c r="B420" s="28"/>
      <c r="C420" s="28"/>
      <c r="D420" s="28"/>
      <c r="E420" s="28"/>
      <c r="F420" s="28"/>
      <c r="G420" s="28"/>
      <c r="H420" s="28"/>
    </row>
    <row r="421">
      <c r="A421" s="28"/>
      <c r="B421" s="28"/>
      <c r="C421" s="28"/>
      <c r="D421" s="28"/>
      <c r="E421" s="28"/>
      <c r="F421" s="28"/>
      <c r="G421" s="28"/>
      <c r="H421" s="28"/>
    </row>
    <row r="422">
      <c r="A422" s="28"/>
      <c r="B422" s="28"/>
      <c r="C422" s="28"/>
      <c r="D422" s="28"/>
      <c r="E422" s="28"/>
      <c r="F422" s="28"/>
      <c r="G422" s="28"/>
      <c r="H422" s="28"/>
    </row>
    <row r="423">
      <c r="A423" s="28"/>
      <c r="B423" s="28"/>
      <c r="C423" s="28"/>
      <c r="D423" s="28"/>
      <c r="E423" s="28"/>
      <c r="F423" s="28"/>
      <c r="G423" s="28"/>
      <c r="H423" s="28"/>
    </row>
    <row r="424">
      <c r="A424" s="28"/>
      <c r="B424" s="28"/>
      <c r="C424" s="28"/>
      <c r="D424" s="28"/>
      <c r="E424" s="28"/>
      <c r="F424" s="28"/>
      <c r="G424" s="28"/>
      <c r="H424" s="28"/>
    </row>
    <row r="425">
      <c r="A425" s="28"/>
      <c r="B425" s="28"/>
      <c r="C425" s="28"/>
      <c r="D425" s="28"/>
      <c r="E425" s="28"/>
      <c r="F425" s="28"/>
      <c r="G425" s="28"/>
      <c r="H425" s="28"/>
    </row>
    <row r="426">
      <c r="A426" s="28"/>
      <c r="B426" s="28"/>
      <c r="C426" s="28"/>
      <c r="D426" s="28"/>
      <c r="E426" s="28"/>
      <c r="F426" s="28"/>
      <c r="G426" s="28"/>
      <c r="H426" s="28"/>
    </row>
    <row r="427">
      <c r="A427" s="28"/>
      <c r="B427" s="28"/>
      <c r="C427" s="28"/>
      <c r="D427" s="28"/>
      <c r="E427" s="28"/>
      <c r="F427" s="28"/>
      <c r="G427" s="28"/>
      <c r="H427" s="28"/>
    </row>
    <row r="428">
      <c r="A428" s="28"/>
      <c r="B428" s="28"/>
      <c r="C428" s="28"/>
      <c r="D428" s="28"/>
      <c r="E428" s="28"/>
      <c r="F428" s="28"/>
      <c r="G428" s="28"/>
      <c r="H428" s="28"/>
    </row>
    <row r="429">
      <c r="A429" s="28"/>
      <c r="B429" s="28"/>
      <c r="C429" s="28"/>
      <c r="D429" s="28"/>
      <c r="E429" s="28"/>
      <c r="F429" s="28"/>
      <c r="G429" s="28"/>
      <c r="H429" s="28"/>
    </row>
    <row r="430">
      <c r="A430" s="28"/>
      <c r="B430" s="28"/>
      <c r="C430" s="28"/>
      <c r="D430" s="28"/>
      <c r="E430" s="28"/>
      <c r="F430" s="28"/>
      <c r="G430" s="28"/>
      <c r="H430" s="28"/>
    </row>
    <row r="431">
      <c r="A431" s="28"/>
      <c r="B431" s="28"/>
      <c r="C431" s="28"/>
      <c r="D431" s="28"/>
      <c r="E431" s="28"/>
      <c r="F431" s="28"/>
      <c r="G431" s="28"/>
      <c r="H431" s="28"/>
    </row>
    <row r="432">
      <c r="A432" s="28"/>
      <c r="B432" s="28"/>
      <c r="C432" s="28"/>
      <c r="D432" s="28"/>
      <c r="E432" s="28"/>
      <c r="F432" s="28"/>
      <c r="G432" s="28"/>
      <c r="H432" s="28"/>
    </row>
    <row r="433">
      <c r="A433" s="28"/>
      <c r="B433" s="28"/>
      <c r="C433" s="28"/>
      <c r="D433" s="28"/>
      <c r="E433" s="28"/>
      <c r="F433" s="28"/>
      <c r="G433" s="28"/>
      <c r="H433" s="28"/>
    </row>
    <row r="434">
      <c r="A434" s="28"/>
      <c r="B434" s="28"/>
      <c r="C434" s="28"/>
      <c r="D434" s="28"/>
      <c r="E434" s="28"/>
      <c r="F434" s="28"/>
      <c r="G434" s="28"/>
      <c r="H434" s="28"/>
    </row>
    <row r="435">
      <c r="A435" s="28"/>
      <c r="B435" s="28"/>
      <c r="C435" s="28"/>
      <c r="D435" s="28"/>
      <c r="E435" s="28"/>
      <c r="F435" s="28"/>
      <c r="G435" s="28"/>
      <c r="H435" s="28"/>
    </row>
    <row r="436">
      <c r="A436" s="28"/>
      <c r="B436" s="28"/>
      <c r="C436" s="28"/>
      <c r="D436" s="28"/>
      <c r="E436" s="28"/>
      <c r="F436" s="28"/>
      <c r="G436" s="28"/>
      <c r="H436" s="28"/>
    </row>
    <row r="437">
      <c r="A437" s="28"/>
      <c r="B437" s="28"/>
      <c r="C437" s="28"/>
      <c r="D437" s="28"/>
      <c r="E437" s="28"/>
      <c r="F437" s="28"/>
      <c r="G437" s="28"/>
      <c r="H437" s="28"/>
    </row>
    <row r="438">
      <c r="A438" s="28"/>
      <c r="B438" s="28"/>
      <c r="C438" s="28"/>
      <c r="D438" s="28"/>
      <c r="E438" s="28"/>
      <c r="F438" s="28"/>
      <c r="G438" s="28"/>
      <c r="H438" s="28"/>
    </row>
    <row r="439">
      <c r="A439" s="28"/>
      <c r="B439" s="28"/>
      <c r="C439" s="28"/>
      <c r="D439" s="28"/>
      <c r="E439" s="28"/>
      <c r="F439" s="28"/>
      <c r="G439" s="28"/>
      <c r="H439" s="28"/>
    </row>
    <row r="440">
      <c r="A440" s="28"/>
      <c r="B440" s="28"/>
      <c r="C440" s="28"/>
      <c r="D440" s="28"/>
      <c r="E440" s="28"/>
      <c r="F440" s="28"/>
      <c r="G440" s="28"/>
      <c r="H440" s="28"/>
    </row>
    <row r="441">
      <c r="A441" s="28"/>
      <c r="B441" s="28"/>
      <c r="C441" s="28"/>
      <c r="D441" s="28"/>
      <c r="E441" s="28"/>
      <c r="F441" s="28"/>
      <c r="G441" s="28"/>
      <c r="H441" s="28"/>
    </row>
    <row r="442">
      <c r="A442" s="28"/>
      <c r="B442" s="28"/>
      <c r="C442" s="28"/>
      <c r="D442" s="28"/>
      <c r="E442" s="28"/>
      <c r="F442" s="28"/>
      <c r="G442" s="28"/>
      <c r="H442" s="28"/>
    </row>
    <row r="443">
      <c r="A443" s="28"/>
      <c r="B443" s="28"/>
      <c r="C443" s="28"/>
      <c r="D443" s="28"/>
      <c r="E443" s="28"/>
      <c r="F443" s="28"/>
      <c r="G443" s="28"/>
      <c r="H443" s="28"/>
    </row>
    <row r="444">
      <c r="A444" s="28"/>
      <c r="B444" s="28"/>
      <c r="C444" s="28"/>
      <c r="D444" s="28"/>
      <c r="E444" s="28"/>
      <c r="F444" s="28"/>
      <c r="G444" s="28"/>
      <c r="H444" s="28"/>
    </row>
    <row r="445">
      <c r="A445" s="28"/>
      <c r="B445" s="28"/>
      <c r="C445" s="28"/>
      <c r="D445" s="28"/>
      <c r="E445" s="28"/>
      <c r="F445" s="28"/>
      <c r="G445" s="28"/>
      <c r="H445" s="28"/>
    </row>
    <row r="446">
      <c r="A446" s="28"/>
      <c r="B446" s="28"/>
      <c r="C446" s="28"/>
      <c r="D446" s="28"/>
      <c r="E446" s="28"/>
      <c r="F446" s="28"/>
      <c r="G446" s="28"/>
      <c r="H446" s="28"/>
    </row>
    <row r="447">
      <c r="A447" s="28"/>
      <c r="B447" s="28"/>
      <c r="C447" s="28"/>
      <c r="D447" s="28"/>
      <c r="E447" s="28"/>
      <c r="F447" s="28"/>
      <c r="G447" s="28"/>
      <c r="H447" s="28"/>
    </row>
    <row r="448">
      <c r="A448" s="28"/>
      <c r="B448" s="28"/>
      <c r="C448" s="28"/>
      <c r="D448" s="28"/>
      <c r="E448" s="28"/>
      <c r="F448" s="28"/>
      <c r="G448" s="28"/>
      <c r="H448" s="28"/>
    </row>
    <row r="449">
      <c r="A449" s="28"/>
      <c r="B449" s="28"/>
      <c r="C449" s="28"/>
      <c r="D449" s="28"/>
      <c r="E449" s="28"/>
      <c r="F449" s="28"/>
      <c r="G449" s="28"/>
      <c r="H449" s="28"/>
    </row>
    <row r="450">
      <c r="A450" s="28"/>
      <c r="B450" s="28"/>
      <c r="C450" s="28"/>
      <c r="D450" s="28"/>
      <c r="E450" s="28"/>
      <c r="F450" s="28"/>
      <c r="G450" s="28"/>
      <c r="H450" s="28"/>
    </row>
    <row r="451">
      <c r="A451" s="28"/>
      <c r="B451" s="28"/>
      <c r="C451" s="28"/>
      <c r="D451" s="28"/>
      <c r="E451" s="28"/>
      <c r="F451" s="28"/>
      <c r="G451" s="28"/>
      <c r="H451" s="28"/>
    </row>
    <row r="452">
      <c r="A452" s="28"/>
      <c r="B452" s="28"/>
      <c r="C452" s="28"/>
      <c r="D452" s="28"/>
      <c r="E452" s="28"/>
      <c r="F452" s="28"/>
      <c r="G452" s="28"/>
      <c r="H452" s="28"/>
    </row>
    <row r="453">
      <c r="A453" s="28"/>
      <c r="B453" s="28"/>
      <c r="C453" s="28"/>
      <c r="D453" s="28"/>
      <c r="E453" s="28"/>
      <c r="F453" s="28"/>
      <c r="G453" s="28"/>
      <c r="H453" s="28"/>
    </row>
    <row r="454">
      <c r="A454" s="28"/>
      <c r="B454" s="28"/>
      <c r="C454" s="28"/>
      <c r="D454" s="28"/>
      <c r="E454" s="28"/>
      <c r="F454" s="28"/>
      <c r="G454" s="28"/>
      <c r="H454" s="28"/>
    </row>
    <row r="455">
      <c r="A455" s="28"/>
      <c r="B455" s="28"/>
      <c r="C455" s="28"/>
      <c r="D455" s="28"/>
      <c r="E455" s="28"/>
      <c r="F455" s="28"/>
      <c r="G455" s="28"/>
      <c r="H455" s="28"/>
    </row>
    <row r="456">
      <c r="A456" s="28"/>
      <c r="B456" s="28"/>
      <c r="C456" s="28"/>
      <c r="D456" s="28"/>
      <c r="E456" s="28"/>
      <c r="F456" s="28"/>
      <c r="G456" s="28"/>
      <c r="H456" s="28"/>
    </row>
    <row r="457">
      <c r="A457" s="28"/>
      <c r="B457" s="28"/>
      <c r="C457" s="28"/>
      <c r="D457" s="28"/>
      <c r="E457" s="28"/>
      <c r="F457" s="28"/>
      <c r="G457" s="28"/>
      <c r="H457" s="28"/>
    </row>
    <row r="458">
      <c r="A458" s="28"/>
      <c r="B458" s="28"/>
      <c r="C458" s="28"/>
      <c r="D458" s="28"/>
      <c r="E458" s="28"/>
      <c r="F458" s="28"/>
      <c r="G458" s="28"/>
      <c r="H458" s="28"/>
    </row>
    <row r="459">
      <c r="A459" s="28"/>
      <c r="B459" s="28"/>
      <c r="C459" s="28"/>
      <c r="D459" s="28"/>
      <c r="E459" s="28"/>
      <c r="F459" s="28"/>
      <c r="G459" s="28"/>
      <c r="H459" s="28"/>
    </row>
    <row r="460">
      <c r="A460" s="28"/>
      <c r="B460" s="28"/>
      <c r="C460" s="28"/>
      <c r="D460" s="28"/>
      <c r="E460" s="28"/>
      <c r="F460" s="28"/>
      <c r="G460" s="28"/>
      <c r="H460" s="28"/>
    </row>
    <row r="461">
      <c r="A461" s="28"/>
      <c r="B461" s="28"/>
      <c r="C461" s="28"/>
      <c r="D461" s="28"/>
      <c r="E461" s="28"/>
      <c r="F461" s="28"/>
      <c r="G461" s="28"/>
      <c r="H461" s="28"/>
    </row>
    <row r="462">
      <c r="A462" s="28"/>
      <c r="B462" s="28"/>
      <c r="C462" s="28"/>
      <c r="D462" s="28"/>
      <c r="E462" s="28"/>
      <c r="F462" s="28"/>
      <c r="G462" s="28"/>
      <c r="H462" s="28"/>
    </row>
    <row r="463">
      <c r="A463" s="28"/>
      <c r="B463" s="28"/>
      <c r="C463" s="28"/>
      <c r="D463" s="28"/>
      <c r="E463" s="28"/>
      <c r="F463" s="28"/>
      <c r="G463" s="28"/>
      <c r="H463" s="28"/>
    </row>
    <row r="464">
      <c r="A464" s="28"/>
      <c r="B464" s="28"/>
      <c r="C464" s="28"/>
      <c r="D464" s="28"/>
      <c r="E464" s="28"/>
      <c r="F464" s="28"/>
      <c r="G464" s="28"/>
      <c r="H464" s="28"/>
    </row>
    <row r="465">
      <c r="A465" s="28"/>
      <c r="B465" s="28"/>
      <c r="C465" s="28"/>
      <c r="D465" s="28"/>
      <c r="E465" s="28"/>
      <c r="F465" s="28"/>
      <c r="G465" s="28"/>
      <c r="H465" s="28"/>
    </row>
    <row r="466">
      <c r="A466" s="28"/>
      <c r="B466" s="28"/>
      <c r="C466" s="28"/>
      <c r="D466" s="28"/>
      <c r="E466" s="28"/>
      <c r="F466" s="28"/>
      <c r="G466" s="28"/>
      <c r="H466" s="28"/>
    </row>
    <row r="467">
      <c r="A467" s="28"/>
      <c r="B467" s="28"/>
      <c r="C467" s="28"/>
      <c r="D467" s="28"/>
      <c r="E467" s="28"/>
      <c r="F467" s="28"/>
      <c r="G467" s="28"/>
      <c r="H467" s="28"/>
    </row>
    <row r="468">
      <c r="A468" s="28"/>
      <c r="B468" s="28"/>
      <c r="C468" s="28"/>
      <c r="D468" s="28"/>
      <c r="E468" s="28"/>
      <c r="F468" s="28"/>
      <c r="G468" s="28"/>
      <c r="H468" s="28"/>
    </row>
    <row r="469">
      <c r="A469" s="28"/>
      <c r="B469" s="28"/>
      <c r="C469" s="28"/>
      <c r="D469" s="28"/>
      <c r="E469" s="28"/>
      <c r="F469" s="28"/>
      <c r="G469" s="28"/>
      <c r="H469" s="28"/>
    </row>
    <row r="470">
      <c r="A470" s="28"/>
      <c r="B470" s="28"/>
      <c r="C470" s="28"/>
      <c r="D470" s="28"/>
      <c r="E470" s="28"/>
      <c r="F470" s="28"/>
      <c r="G470" s="28"/>
      <c r="H470" s="28"/>
    </row>
    <row r="471">
      <c r="A471" s="28"/>
      <c r="B471" s="28"/>
      <c r="C471" s="28"/>
      <c r="D471" s="28"/>
      <c r="E471" s="28"/>
      <c r="F471" s="28"/>
      <c r="G471" s="28"/>
      <c r="H471" s="28"/>
    </row>
    <row r="472">
      <c r="A472" s="28"/>
      <c r="B472" s="28"/>
      <c r="C472" s="28"/>
      <c r="D472" s="28"/>
      <c r="E472" s="28"/>
      <c r="F472" s="28"/>
      <c r="G472" s="28"/>
      <c r="H472" s="28"/>
    </row>
    <row r="473">
      <c r="A473" s="28"/>
      <c r="B473" s="28"/>
      <c r="C473" s="28"/>
      <c r="D473" s="28"/>
      <c r="E473" s="28"/>
      <c r="F473" s="28"/>
      <c r="G473" s="28"/>
      <c r="H473" s="28"/>
    </row>
    <row r="474">
      <c r="A474" s="28"/>
      <c r="B474" s="28"/>
      <c r="C474" s="28"/>
      <c r="D474" s="28"/>
      <c r="E474" s="28"/>
      <c r="F474" s="28"/>
      <c r="G474" s="28"/>
      <c r="H474" s="28"/>
    </row>
    <row r="475">
      <c r="A475" s="28"/>
      <c r="B475" s="28"/>
      <c r="C475" s="28"/>
      <c r="D475" s="28"/>
      <c r="E475" s="28"/>
      <c r="F475" s="28"/>
      <c r="G475" s="28"/>
      <c r="H475" s="28"/>
    </row>
    <row r="476">
      <c r="A476" s="28"/>
      <c r="B476" s="28"/>
      <c r="C476" s="28"/>
      <c r="D476" s="28"/>
      <c r="E476" s="28"/>
      <c r="F476" s="28"/>
      <c r="G476" s="28"/>
      <c r="H476" s="28"/>
    </row>
    <row r="477">
      <c r="A477" s="28"/>
      <c r="B477" s="28"/>
      <c r="C477" s="28"/>
      <c r="D477" s="28"/>
      <c r="E477" s="28"/>
      <c r="F477" s="28"/>
      <c r="G477" s="28"/>
      <c r="H477" s="28"/>
    </row>
    <row r="478">
      <c r="A478" s="28"/>
      <c r="B478" s="28"/>
      <c r="C478" s="28"/>
      <c r="D478" s="28"/>
      <c r="E478" s="28"/>
      <c r="F478" s="28"/>
      <c r="G478" s="28"/>
      <c r="H478" s="28"/>
    </row>
    <row r="479">
      <c r="A479" s="28"/>
      <c r="B479" s="28"/>
      <c r="C479" s="28"/>
      <c r="D479" s="28"/>
      <c r="E479" s="28"/>
      <c r="F479" s="28"/>
      <c r="G479" s="28"/>
      <c r="H479" s="28"/>
    </row>
    <row r="480">
      <c r="A480" s="28"/>
      <c r="B480" s="28"/>
      <c r="C480" s="28"/>
      <c r="D480" s="28"/>
      <c r="E480" s="28"/>
      <c r="F480" s="28"/>
      <c r="G480" s="28"/>
      <c r="H480" s="28"/>
    </row>
    <row r="481">
      <c r="A481" s="28"/>
      <c r="B481" s="28"/>
      <c r="C481" s="28"/>
      <c r="D481" s="28"/>
      <c r="E481" s="28"/>
      <c r="F481" s="28"/>
      <c r="G481" s="28"/>
      <c r="H481" s="28"/>
    </row>
    <row r="482">
      <c r="A482" s="28"/>
      <c r="B482" s="28"/>
      <c r="C482" s="28"/>
      <c r="D482" s="28"/>
      <c r="E482" s="28"/>
      <c r="F482" s="28"/>
      <c r="G482" s="28"/>
      <c r="H482" s="28"/>
    </row>
    <row r="483">
      <c r="A483" s="28"/>
      <c r="B483" s="28"/>
      <c r="C483" s="28"/>
      <c r="D483" s="28"/>
      <c r="E483" s="28"/>
      <c r="F483" s="28"/>
      <c r="G483" s="28"/>
      <c r="H483" s="28"/>
    </row>
    <row r="484">
      <c r="A484" s="28"/>
      <c r="B484" s="28"/>
      <c r="C484" s="28"/>
      <c r="D484" s="28"/>
      <c r="E484" s="28"/>
      <c r="F484" s="28"/>
      <c r="G484" s="28"/>
      <c r="H484" s="28"/>
    </row>
    <row r="485">
      <c r="A485" s="28"/>
      <c r="B485" s="28"/>
      <c r="C485" s="28"/>
      <c r="D485" s="28"/>
      <c r="E485" s="28"/>
      <c r="F485" s="28"/>
      <c r="G485" s="28"/>
      <c r="H485" s="28"/>
    </row>
    <row r="486">
      <c r="A486" s="28"/>
      <c r="B486" s="28"/>
      <c r="C486" s="28"/>
      <c r="D486" s="28"/>
      <c r="E486" s="28"/>
      <c r="F486" s="28"/>
      <c r="G486" s="28"/>
      <c r="H486" s="28"/>
    </row>
    <row r="487">
      <c r="A487" s="28"/>
      <c r="B487" s="28"/>
      <c r="C487" s="28"/>
      <c r="D487" s="28"/>
      <c r="E487" s="28"/>
      <c r="F487" s="28"/>
      <c r="G487" s="28"/>
      <c r="H487" s="28"/>
    </row>
    <row r="488">
      <c r="A488" s="28"/>
      <c r="B488" s="28"/>
      <c r="C488" s="28"/>
      <c r="D488" s="28"/>
      <c r="E488" s="28"/>
      <c r="F488" s="28"/>
      <c r="G488" s="28"/>
      <c r="H488" s="28"/>
    </row>
    <row r="489">
      <c r="A489" s="28"/>
      <c r="B489" s="28"/>
      <c r="C489" s="28"/>
      <c r="D489" s="28"/>
      <c r="E489" s="28"/>
      <c r="F489" s="28"/>
      <c r="G489" s="28"/>
      <c r="H489" s="28"/>
    </row>
    <row r="490">
      <c r="A490" s="28"/>
      <c r="B490" s="28"/>
      <c r="C490" s="28"/>
      <c r="D490" s="28"/>
      <c r="E490" s="28"/>
      <c r="F490" s="28"/>
      <c r="G490" s="28"/>
      <c r="H490" s="28"/>
    </row>
    <row r="491">
      <c r="A491" s="28"/>
      <c r="B491" s="28"/>
      <c r="C491" s="28"/>
      <c r="D491" s="28"/>
      <c r="E491" s="28"/>
      <c r="F491" s="28"/>
      <c r="G491" s="28"/>
      <c r="H491" s="28"/>
    </row>
    <row r="492">
      <c r="A492" s="28"/>
      <c r="B492" s="28"/>
      <c r="C492" s="28"/>
      <c r="D492" s="28"/>
      <c r="E492" s="28"/>
      <c r="F492" s="28"/>
      <c r="G492" s="28"/>
      <c r="H492" s="28"/>
    </row>
    <row r="493">
      <c r="A493" s="28"/>
      <c r="B493" s="28"/>
      <c r="C493" s="28"/>
      <c r="D493" s="28"/>
      <c r="E493" s="28"/>
      <c r="F493" s="28"/>
      <c r="G493" s="28"/>
      <c r="H493" s="28"/>
    </row>
    <row r="494">
      <c r="A494" s="28"/>
      <c r="B494" s="28"/>
      <c r="C494" s="28"/>
      <c r="D494" s="28"/>
      <c r="E494" s="28"/>
      <c r="F494" s="28"/>
      <c r="G494" s="28"/>
      <c r="H494" s="28"/>
    </row>
    <row r="495">
      <c r="A495" s="28"/>
      <c r="B495" s="28"/>
      <c r="C495" s="28"/>
      <c r="D495" s="28"/>
      <c r="E495" s="28"/>
      <c r="F495" s="28"/>
      <c r="G495" s="28"/>
      <c r="H495" s="28"/>
    </row>
    <row r="496">
      <c r="A496" s="28"/>
      <c r="B496" s="28"/>
      <c r="C496" s="28"/>
      <c r="D496" s="28"/>
      <c r="E496" s="28"/>
      <c r="F496" s="28"/>
      <c r="G496" s="28"/>
      <c r="H496" s="28"/>
    </row>
    <row r="497">
      <c r="A497" s="28"/>
      <c r="B497" s="28"/>
      <c r="C497" s="28"/>
      <c r="D497" s="28"/>
      <c r="E497" s="28"/>
      <c r="F497" s="28"/>
      <c r="G497" s="28"/>
      <c r="H497" s="28"/>
    </row>
    <row r="498">
      <c r="A498" s="28"/>
      <c r="B498" s="28"/>
      <c r="C498" s="28"/>
      <c r="D498" s="28"/>
      <c r="E498" s="28"/>
      <c r="F498" s="28"/>
      <c r="G498" s="28"/>
      <c r="H498" s="28"/>
    </row>
    <row r="499">
      <c r="A499" s="28"/>
      <c r="B499" s="28"/>
      <c r="C499" s="28"/>
      <c r="D499" s="28"/>
      <c r="E499" s="28"/>
      <c r="F499" s="28"/>
      <c r="G499" s="28"/>
      <c r="H499" s="28"/>
    </row>
    <row r="500">
      <c r="A500" s="28"/>
      <c r="B500" s="28"/>
      <c r="C500" s="28"/>
      <c r="D500" s="28"/>
      <c r="E500" s="28"/>
      <c r="F500" s="28"/>
      <c r="G500" s="28"/>
      <c r="H500" s="28"/>
    </row>
    <row r="501">
      <c r="A501" s="28"/>
      <c r="B501" s="28"/>
      <c r="C501" s="28"/>
      <c r="D501" s="28"/>
      <c r="E501" s="28"/>
      <c r="F501" s="28"/>
      <c r="G501" s="28"/>
      <c r="H501" s="28"/>
    </row>
    <row r="502">
      <c r="A502" s="28"/>
      <c r="B502" s="28"/>
      <c r="C502" s="28"/>
      <c r="D502" s="28"/>
      <c r="E502" s="28"/>
      <c r="F502" s="28"/>
      <c r="G502" s="28"/>
      <c r="H502" s="28"/>
    </row>
    <row r="503">
      <c r="A503" s="28"/>
      <c r="B503" s="28"/>
      <c r="C503" s="28"/>
      <c r="D503" s="28"/>
      <c r="E503" s="28"/>
      <c r="F503" s="28"/>
      <c r="G503" s="28"/>
      <c r="H503" s="28"/>
    </row>
    <row r="504">
      <c r="A504" s="28"/>
      <c r="B504" s="28"/>
      <c r="C504" s="28"/>
      <c r="D504" s="28"/>
      <c r="E504" s="28"/>
      <c r="F504" s="28"/>
      <c r="G504" s="28"/>
      <c r="H504" s="28"/>
    </row>
    <row r="505">
      <c r="A505" s="28"/>
      <c r="B505" s="28"/>
      <c r="C505" s="28"/>
      <c r="D505" s="28"/>
      <c r="E505" s="28"/>
      <c r="F505" s="28"/>
      <c r="G505" s="28"/>
      <c r="H505" s="28"/>
    </row>
    <row r="506">
      <c r="A506" s="28"/>
      <c r="B506" s="28"/>
      <c r="C506" s="28"/>
      <c r="D506" s="28"/>
      <c r="E506" s="28"/>
      <c r="F506" s="28"/>
      <c r="G506" s="28"/>
      <c r="H506" s="28"/>
    </row>
    <row r="507">
      <c r="A507" s="28"/>
      <c r="B507" s="28"/>
      <c r="C507" s="28"/>
      <c r="D507" s="28"/>
      <c r="E507" s="28"/>
      <c r="F507" s="28"/>
      <c r="G507" s="28"/>
      <c r="H507" s="28"/>
    </row>
    <row r="508">
      <c r="A508" s="28"/>
      <c r="B508" s="28"/>
      <c r="C508" s="28"/>
      <c r="D508" s="28"/>
      <c r="E508" s="28"/>
      <c r="F508" s="28"/>
      <c r="G508" s="28"/>
      <c r="H508" s="28"/>
    </row>
    <row r="509">
      <c r="A509" s="28"/>
      <c r="B509" s="28"/>
      <c r="C509" s="28"/>
      <c r="D509" s="28"/>
      <c r="E509" s="28"/>
      <c r="F509" s="28"/>
      <c r="G509" s="28"/>
      <c r="H509" s="28"/>
    </row>
    <row r="510">
      <c r="A510" s="28"/>
      <c r="B510" s="28"/>
      <c r="C510" s="28"/>
      <c r="D510" s="28"/>
      <c r="E510" s="28"/>
      <c r="F510" s="28"/>
      <c r="G510" s="28"/>
      <c r="H510" s="28"/>
    </row>
    <row r="511">
      <c r="A511" s="28"/>
      <c r="B511" s="28"/>
      <c r="C511" s="28"/>
      <c r="D511" s="28"/>
      <c r="E511" s="28"/>
      <c r="F511" s="28"/>
      <c r="G511" s="28"/>
      <c r="H511" s="28"/>
    </row>
    <row r="512">
      <c r="A512" s="28"/>
      <c r="B512" s="28"/>
      <c r="C512" s="28"/>
      <c r="D512" s="28"/>
      <c r="E512" s="28"/>
      <c r="F512" s="28"/>
      <c r="G512" s="28"/>
      <c r="H512" s="28"/>
    </row>
    <row r="513">
      <c r="A513" s="28"/>
      <c r="B513" s="28"/>
      <c r="C513" s="28"/>
      <c r="D513" s="28"/>
      <c r="E513" s="28"/>
      <c r="F513" s="28"/>
      <c r="G513" s="28"/>
      <c r="H513" s="28"/>
    </row>
    <row r="514">
      <c r="A514" s="28"/>
      <c r="B514" s="28"/>
      <c r="C514" s="28"/>
      <c r="D514" s="28"/>
      <c r="E514" s="28"/>
      <c r="F514" s="28"/>
      <c r="G514" s="28"/>
      <c r="H514" s="28"/>
    </row>
    <row r="515">
      <c r="A515" s="28"/>
      <c r="B515" s="28"/>
      <c r="C515" s="28"/>
      <c r="D515" s="28"/>
      <c r="E515" s="28"/>
      <c r="F515" s="28"/>
      <c r="G515" s="28"/>
      <c r="H515" s="28"/>
    </row>
    <row r="516">
      <c r="A516" s="28"/>
      <c r="B516" s="28"/>
      <c r="C516" s="28"/>
      <c r="D516" s="28"/>
      <c r="E516" s="28"/>
      <c r="F516" s="28"/>
      <c r="G516" s="28"/>
      <c r="H516" s="28"/>
    </row>
    <row r="517">
      <c r="A517" s="28"/>
      <c r="B517" s="28"/>
      <c r="C517" s="28"/>
      <c r="D517" s="28"/>
      <c r="E517" s="28"/>
      <c r="F517" s="28"/>
      <c r="G517" s="28"/>
      <c r="H517" s="28"/>
    </row>
    <row r="518">
      <c r="A518" s="28"/>
      <c r="B518" s="28"/>
      <c r="C518" s="28"/>
      <c r="D518" s="28"/>
      <c r="E518" s="28"/>
      <c r="F518" s="28"/>
      <c r="G518" s="28"/>
      <c r="H518" s="28"/>
    </row>
    <row r="519">
      <c r="A519" s="28"/>
      <c r="B519" s="28"/>
      <c r="C519" s="28"/>
      <c r="D519" s="28"/>
      <c r="E519" s="28"/>
      <c r="F519" s="28"/>
      <c r="G519" s="28"/>
      <c r="H519" s="28"/>
    </row>
    <row r="520">
      <c r="A520" s="28"/>
      <c r="B520" s="28"/>
      <c r="C520" s="28"/>
      <c r="D520" s="28"/>
      <c r="E520" s="28"/>
      <c r="F520" s="28"/>
      <c r="G520" s="28"/>
      <c r="H520" s="28"/>
    </row>
    <row r="521">
      <c r="A521" s="28"/>
      <c r="B521" s="28"/>
      <c r="C521" s="28"/>
      <c r="D521" s="28"/>
      <c r="E521" s="28"/>
      <c r="F521" s="28"/>
      <c r="G521" s="28"/>
      <c r="H521" s="28"/>
    </row>
    <row r="522">
      <c r="A522" s="28"/>
      <c r="B522" s="28"/>
      <c r="C522" s="28"/>
      <c r="D522" s="28"/>
      <c r="E522" s="28"/>
      <c r="F522" s="28"/>
      <c r="G522" s="28"/>
      <c r="H522" s="28"/>
    </row>
    <row r="523">
      <c r="A523" s="28"/>
      <c r="B523" s="28"/>
      <c r="C523" s="28"/>
      <c r="D523" s="28"/>
      <c r="E523" s="28"/>
      <c r="F523" s="28"/>
      <c r="G523" s="28"/>
      <c r="H523" s="28"/>
    </row>
    <row r="524">
      <c r="A524" s="28"/>
      <c r="B524" s="28"/>
      <c r="C524" s="28"/>
      <c r="D524" s="28"/>
      <c r="E524" s="28"/>
      <c r="F524" s="28"/>
      <c r="G524" s="28"/>
      <c r="H524" s="28"/>
    </row>
    <row r="525">
      <c r="A525" s="28"/>
      <c r="B525" s="28"/>
      <c r="C525" s="28"/>
      <c r="D525" s="28"/>
      <c r="E525" s="28"/>
      <c r="F525" s="28"/>
      <c r="G525" s="28"/>
      <c r="H525" s="28"/>
    </row>
    <row r="526">
      <c r="A526" s="28"/>
      <c r="B526" s="28"/>
      <c r="C526" s="28"/>
      <c r="D526" s="28"/>
      <c r="E526" s="28"/>
      <c r="F526" s="28"/>
      <c r="G526" s="28"/>
      <c r="H526" s="28"/>
    </row>
    <row r="527">
      <c r="A527" s="28"/>
      <c r="B527" s="28"/>
      <c r="C527" s="28"/>
      <c r="D527" s="28"/>
      <c r="E527" s="28"/>
      <c r="F527" s="28"/>
      <c r="G527" s="28"/>
      <c r="H527" s="28"/>
    </row>
    <row r="528">
      <c r="A528" s="28"/>
      <c r="B528" s="28"/>
      <c r="C528" s="28"/>
      <c r="D528" s="28"/>
      <c r="E528" s="28"/>
      <c r="F528" s="28"/>
      <c r="G528" s="28"/>
      <c r="H528" s="28"/>
    </row>
    <row r="529">
      <c r="A529" s="28"/>
      <c r="B529" s="28"/>
      <c r="C529" s="28"/>
      <c r="D529" s="28"/>
      <c r="E529" s="28"/>
      <c r="F529" s="28"/>
      <c r="G529" s="28"/>
      <c r="H529" s="28"/>
    </row>
    <row r="530">
      <c r="A530" s="28"/>
      <c r="B530" s="28"/>
      <c r="C530" s="28"/>
      <c r="D530" s="28"/>
      <c r="E530" s="28"/>
      <c r="F530" s="28"/>
      <c r="G530" s="28"/>
      <c r="H530" s="28"/>
    </row>
    <row r="531">
      <c r="A531" s="28"/>
      <c r="B531" s="28"/>
      <c r="C531" s="28"/>
      <c r="D531" s="28"/>
      <c r="E531" s="28"/>
      <c r="F531" s="28"/>
      <c r="G531" s="28"/>
      <c r="H531" s="28"/>
    </row>
    <row r="532">
      <c r="A532" s="28"/>
      <c r="B532" s="28"/>
      <c r="C532" s="28"/>
      <c r="D532" s="28"/>
      <c r="E532" s="28"/>
      <c r="F532" s="28"/>
      <c r="G532" s="28"/>
      <c r="H532" s="28"/>
    </row>
    <row r="533">
      <c r="A533" s="28"/>
      <c r="B533" s="28"/>
      <c r="C533" s="28"/>
      <c r="D533" s="28"/>
      <c r="E533" s="28"/>
      <c r="F533" s="28"/>
      <c r="G533" s="28"/>
      <c r="H533" s="28"/>
    </row>
    <row r="534">
      <c r="A534" s="28"/>
      <c r="B534" s="28"/>
      <c r="C534" s="28"/>
      <c r="D534" s="28"/>
      <c r="E534" s="28"/>
      <c r="F534" s="28"/>
      <c r="G534" s="28"/>
      <c r="H534" s="28"/>
    </row>
    <row r="535">
      <c r="A535" s="28"/>
      <c r="B535" s="28"/>
      <c r="C535" s="28"/>
      <c r="D535" s="28"/>
      <c r="E535" s="28"/>
      <c r="F535" s="28"/>
      <c r="G535" s="28"/>
      <c r="H535" s="28"/>
    </row>
    <row r="536">
      <c r="A536" s="28"/>
      <c r="B536" s="28"/>
      <c r="C536" s="28"/>
      <c r="D536" s="28"/>
      <c r="E536" s="28"/>
      <c r="F536" s="28"/>
      <c r="G536" s="28"/>
      <c r="H536" s="28"/>
    </row>
    <row r="537">
      <c r="A537" s="28"/>
      <c r="B537" s="28"/>
      <c r="C537" s="28"/>
      <c r="D537" s="28"/>
      <c r="E537" s="28"/>
      <c r="F537" s="28"/>
      <c r="G537" s="28"/>
      <c r="H537" s="28"/>
    </row>
    <row r="538">
      <c r="A538" s="28"/>
      <c r="B538" s="28"/>
      <c r="C538" s="28"/>
      <c r="D538" s="28"/>
      <c r="E538" s="28"/>
      <c r="F538" s="28"/>
      <c r="G538" s="28"/>
      <c r="H538" s="28"/>
    </row>
    <row r="539">
      <c r="A539" s="28"/>
      <c r="B539" s="28"/>
      <c r="C539" s="28"/>
      <c r="D539" s="28"/>
      <c r="E539" s="28"/>
      <c r="F539" s="28"/>
      <c r="G539" s="28"/>
      <c r="H539" s="28"/>
    </row>
    <row r="540">
      <c r="A540" s="28"/>
      <c r="B540" s="28"/>
      <c r="C540" s="28"/>
      <c r="D540" s="28"/>
      <c r="E540" s="28"/>
      <c r="F540" s="28"/>
      <c r="G540" s="28"/>
      <c r="H540" s="28"/>
    </row>
    <row r="541">
      <c r="A541" s="28"/>
      <c r="B541" s="28"/>
      <c r="C541" s="28"/>
      <c r="D541" s="28"/>
      <c r="E541" s="28"/>
      <c r="F541" s="28"/>
      <c r="G541" s="28"/>
      <c r="H541" s="28"/>
    </row>
    <row r="542">
      <c r="A542" s="28"/>
      <c r="B542" s="28"/>
      <c r="C542" s="28"/>
      <c r="D542" s="28"/>
      <c r="E542" s="28"/>
      <c r="F542" s="28"/>
      <c r="G542" s="28"/>
      <c r="H542" s="28"/>
    </row>
    <row r="543">
      <c r="A543" s="28"/>
      <c r="B543" s="28"/>
      <c r="C543" s="28"/>
      <c r="D543" s="28"/>
      <c r="E543" s="28"/>
      <c r="F543" s="28"/>
      <c r="G543" s="28"/>
      <c r="H543" s="28"/>
    </row>
    <row r="544">
      <c r="A544" s="28"/>
      <c r="B544" s="28"/>
      <c r="C544" s="28"/>
      <c r="D544" s="28"/>
      <c r="E544" s="28"/>
      <c r="F544" s="28"/>
      <c r="G544" s="28"/>
      <c r="H544" s="28"/>
    </row>
    <row r="545">
      <c r="A545" s="28"/>
      <c r="B545" s="28"/>
      <c r="C545" s="28"/>
      <c r="D545" s="28"/>
      <c r="E545" s="28"/>
      <c r="F545" s="28"/>
      <c r="G545" s="28"/>
      <c r="H545" s="28"/>
    </row>
    <row r="546">
      <c r="A546" s="28"/>
      <c r="B546" s="28"/>
      <c r="C546" s="28"/>
      <c r="D546" s="28"/>
      <c r="E546" s="28"/>
      <c r="F546" s="28"/>
      <c r="G546" s="28"/>
      <c r="H546" s="28"/>
    </row>
    <row r="547">
      <c r="A547" s="28"/>
      <c r="B547" s="28"/>
      <c r="C547" s="28"/>
      <c r="D547" s="28"/>
      <c r="E547" s="28"/>
      <c r="F547" s="28"/>
      <c r="G547" s="28"/>
      <c r="H547" s="28"/>
    </row>
    <row r="548">
      <c r="A548" s="28"/>
      <c r="B548" s="28"/>
      <c r="C548" s="28"/>
      <c r="D548" s="28"/>
      <c r="E548" s="28"/>
      <c r="F548" s="28"/>
      <c r="G548" s="28"/>
      <c r="H548" s="28"/>
    </row>
    <row r="549">
      <c r="A549" s="28"/>
      <c r="B549" s="28"/>
      <c r="C549" s="28"/>
      <c r="D549" s="28"/>
      <c r="E549" s="28"/>
      <c r="F549" s="28"/>
      <c r="G549" s="28"/>
      <c r="H549" s="28"/>
    </row>
    <row r="550">
      <c r="A550" s="28"/>
      <c r="B550" s="28"/>
      <c r="C550" s="28"/>
      <c r="D550" s="28"/>
      <c r="E550" s="28"/>
      <c r="F550" s="28"/>
      <c r="G550" s="28"/>
      <c r="H550" s="28"/>
    </row>
    <row r="551">
      <c r="A551" s="28"/>
      <c r="B551" s="28"/>
      <c r="C551" s="28"/>
      <c r="D551" s="28"/>
      <c r="E551" s="28"/>
      <c r="F551" s="28"/>
      <c r="G551" s="28"/>
      <c r="H551" s="28"/>
    </row>
    <row r="552">
      <c r="A552" s="28"/>
      <c r="B552" s="28"/>
      <c r="C552" s="28"/>
      <c r="D552" s="28"/>
      <c r="E552" s="28"/>
      <c r="F552" s="28"/>
      <c r="G552" s="28"/>
      <c r="H552" s="28"/>
    </row>
    <row r="553">
      <c r="A553" s="28"/>
      <c r="B553" s="28"/>
      <c r="C553" s="28"/>
      <c r="D553" s="28"/>
      <c r="E553" s="28"/>
      <c r="F553" s="28"/>
      <c r="G553" s="28"/>
      <c r="H553" s="28"/>
    </row>
    <row r="554">
      <c r="A554" s="28"/>
      <c r="B554" s="28"/>
      <c r="C554" s="28"/>
      <c r="D554" s="28"/>
      <c r="E554" s="28"/>
      <c r="F554" s="28"/>
      <c r="G554" s="28"/>
      <c r="H554" s="28"/>
    </row>
    <row r="555">
      <c r="A555" s="28"/>
      <c r="B555" s="28"/>
      <c r="C555" s="28"/>
      <c r="D555" s="28"/>
      <c r="E555" s="28"/>
      <c r="F555" s="28"/>
      <c r="G555" s="28"/>
      <c r="H555" s="28"/>
    </row>
    <row r="556">
      <c r="A556" s="28"/>
      <c r="B556" s="28"/>
      <c r="C556" s="28"/>
      <c r="D556" s="28"/>
      <c r="E556" s="28"/>
      <c r="F556" s="28"/>
      <c r="G556" s="28"/>
      <c r="H556" s="28"/>
    </row>
    <row r="557">
      <c r="A557" s="28"/>
      <c r="B557" s="28"/>
      <c r="C557" s="28"/>
      <c r="D557" s="28"/>
      <c r="E557" s="28"/>
      <c r="F557" s="28"/>
      <c r="G557" s="28"/>
      <c r="H557" s="28"/>
    </row>
    <row r="558">
      <c r="A558" s="28"/>
      <c r="B558" s="28"/>
      <c r="C558" s="28"/>
      <c r="D558" s="28"/>
      <c r="E558" s="28"/>
      <c r="F558" s="28"/>
      <c r="G558" s="28"/>
      <c r="H558" s="28"/>
    </row>
    <row r="559">
      <c r="A559" s="28"/>
      <c r="B559" s="28"/>
      <c r="C559" s="28"/>
      <c r="D559" s="28"/>
      <c r="E559" s="28"/>
      <c r="F559" s="28"/>
      <c r="G559" s="28"/>
      <c r="H559" s="28"/>
    </row>
    <row r="560">
      <c r="A560" s="28"/>
      <c r="B560" s="28"/>
      <c r="C560" s="28"/>
      <c r="D560" s="28"/>
      <c r="E560" s="28"/>
      <c r="F560" s="28"/>
      <c r="G560" s="28"/>
      <c r="H560" s="28"/>
    </row>
    <row r="561">
      <c r="A561" s="28"/>
      <c r="B561" s="28"/>
      <c r="C561" s="28"/>
      <c r="D561" s="28"/>
      <c r="E561" s="28"/>
      <c r="F561" s="28"/>
      <c r="G561" s="28"/>
      <c r="H561" s="28"/>
    </row>
    <row r="562">
      <c r="A562" s="28"/>
      <c r="B562" s="28"/>
      <c r="C562" s="28"/>
      <c r="D562" s="28"/>
      <c r="E562" s="28"/>
      <c r="F562" s="28"/>
      <c r="G562" s="28"/>
      <c r="H562" s="28"/>
    </row>
    <row r="563">
      <c r="A563" s="28"/>
      <c r="B563" s="28"/>
      <c r="C563" s="28"/>
      <c r="D563" s="28"/>
      <c r="E563" s="28"/>
      <c r="F563" s="28"/>
      <c r="G563" s="28"/>
      <c r="H563" s="28"/>
    </row>
    <row r="564">
      <c r="A564" s="28"/>
      <c r="B564" s="28"/>
      <c r="C564" s="28"/>
      <c r="D564" s="28"/>
      <c r="E564" s="28"/>
      <c r="F564" s="28"/>
      <c r="G564" s="28"/>
      <c r="H564" s="28"/>
    </row>
    <row r="565">
      <c r="A565" s="28"/>
      <c r="B565" s="28"/>
      <c r="C565" s="28"/>
      <c r="D565" s="28"/>
      <c r="E565" s="28"/>
      <c r="F565" s="28"/>
      <c r="G565" s="28"/>
      <c r="H565" s="28"/>
    </row>
    <row r="566">
      <c r="A566" s="28"/>
      <c r="B566" s="28"/>
      <c r="C566" s="28"/>
      <c r="D566" s="28"/>
      <c r="E566" s="28"/>
      <c r="F566" s="28"/>
      <c r="G566" s="28"/>
      <c r="H566" s="28"/>
    </row>
    <row r="567">
      <c r="A567" s="28"/>
      <c r="B567" s="28"/>
      <c r="C567" s="28"/>
      <c r="D567" s="28"/>
      <c r="E567" s="28"/>
      <c r="F567" s="28"/>
      <c r="G567" s="28"/>
      <c r="H567" s="28"/>
    </row>
    <row r="568">
      <c r="A568" s="28"/>
      <c r="B568" s="28"/>
      <c r="C568" s="28"/>
      <c r="D568" s="28"/>
      <c r="E568" s="28"/>
      <c r="F568" s="28"/>
      <c r="G568" s="28"/>
      <c r="H568" s="28"/>
    </row>
    <row r="569">
      <c r="A569" s="28"/>
      <c r="B569" s="28"/>
      <c r="C569" s="28"/>
      <c r="D569" s="28"/>
      <c r="E569" s="28"/>
      <c r="F569" s="28"/>
      <c r="G569" s="28"/>
      <c r="H569" s="28"/>
    </row>
    <row r="570">
      <c r="A570" s="28"/>
      <c r="B570" s="28"/>
      <c r="C570" s="28"/>
      <c r="D570" s="28"/>
      <c r="E570" s="28"/>
      <c r="F570" s="28"/>
      <c r="G570" s="28"/>
      <c r="H570" s="28"/>
    </row>
    <row r="571">
      <c r="A571" s="28"/>
      <c r="B571" s="28"/>
      <c r="C571" s="28"/>
      <c r="D571" s="28"/>
      <c r="E571" s="28"/>
      <c r="F571" s="28"/>
      <c r="G571" s="28"/>
      <c r="H571" s="28"/>
    </row>
    <row r="572">
      <c r="A572" s="28"/>
      <c r="B572" s="28"/>
      <c r="C572" s="28"/>
      <c r="D572" s="28"/>
      <c r="E572" s="28"/>
      <c r="F572" s="28"/>
      <c r="G572" s="28"/>
      <c r="H572" s="28"/>
    </row>
    <row r="573">
      <c r="A573" s="28"/>
      <c r="B573" s="28"/>
      <c r="C573" s="28"/>
      <c r="D573" s="28"/>
      <c r="E573" s="28"/>
      <c r="F573" s="28"/>
      <c r="G573" s="28"/>
      <c r="H573" s="28"/>
    </row>
    <row r="574">
      <c r="A574" s="28"/>
      <c r="B574" s="28"/>
      <c r="C574" s="28"/>
      <c r="D574" s="28"/>
      <c r="E574" s="28"/>
      <c r="F574" s="28"/>
      <c r="G574" s="28"/>
      <c r="H574" s="28"/>
    </row>
    <row r="575">
      <c r="A575" s="28"/>
      <c r="B575" s="28"/>
      <c r="C575" s="28"/>
      <c r="D575" s="28"/>
      <c r="E575" s="28"/>
      <c r="F575" s="28"/>
      <c r="G575" s="28"/>
      <c r="H575" s="28"/>
    </row>
    <row r="576">
      <c r="A576" s="28"/>
      <c r="B576" s="28"/>
      <c r="C576" s="28"/>
      <c r="D576" s="28"/>
      <c r="E576" s="28"/>
      <c r="F576" s="28"/>
      <c r="G576" s="28"/>
      <c r="H576" s="28"/>
    </row>
    <row r="577">
      <c r="A577" s="28"/>
      <c r="B577" s="28"/>
      <c r="C577" s="28"/>
      <c r="D577" s="28"/>
      <c r="E577" s="28"/>
      <c r="F577" s="28"/>
      <c r="G577" s="28"/>
      <c r="H577" s="28"/>
    </row>
    <row r="578">
      <c r="A578" s="28"/>
      <c r="B578" s="28"/>
      <c r="C578" s="28"/>
      <c r="D578" s="28"/>
      <c r="E578" s="28"/>
      <c r="F578" s="28"/>
      <c r="G578" s="28"/>
      <c r="H578" s="28"/>
    </row>
    <row r="579">
      <c r="A579" s="28"/>
      <c r="B579" s="28"/>
      <c r="C579" s="28"/>
      <c r="D579" s="28"/>
      <c r="E579" s="28"/>
      <c r="F579" s="28"/>
      <c r="G579" s="28"/>
      <c r="H579" s="28"/>
    </row>
    <row r="580">
      <c r="A580" s="28"/>
      <c r="B580" s="28"/>
      <c r="C580" s="28"/>
      <c r="D580" s="28"/>
      <c r="E580" s="28"/>
      <c r="F580" s="28"/>
      <c r="G580" s="28"/>
      <c r="H580" s="28"/>
    </row>
    <row r="581">
      <c r="A581" s="28"/>
      <c r="B581" s="28"/>
      <c r="C581" s="28"/>
      <c r="D581" s="28"/>
      <c r="E581" s="28"/>
      <c r="F581" s="28"/>
      <c r="G581" s="28"/>
      <c r="H581" s="28"/>
    </row>
    <row r="582">
      <c r="A582" s="28"/>
      <c r="B582" s="28"/>
      <c r="C582" s="28"/>
      <c r="D582" s="28"/>
      <c r="E582" s="28"/>
      <c r="F582" s="28"/>
      <c r="G582" s="28"/>
      <c r="H582" s="28"/>
    </row>
    <row r="583">
      <c r="A583" s="28"/>
      <c r="B583" s="28"/>
      <c r="C583" s="28"/>
      <c r="D583" s="28"/>
      <c r="E583" s="28"/>
      <c r="F583" s="28"/>
      <c r="G583" s="28"/>
      <c r="H583" s="28"/>
    </row>
    <row r="584">
      <c r="A584" s="28"/>
      <c r="B584" s="28"/>
      <c r="C584" s="28"/>
      <c r="D584" s="28"/>
      <c r="E584" s="28"/>
      <c r="F584" s="28"/>
      <c r="G584" s="28"/>
      <c r="H584" s="28"/>
    </row>
    <row r="585">
      <c r="A585" s="28"/>
      <c r="B585" s="28"/>
      <c r="C585" s="28"/>
      <c r="D585" s="28"/>
      <c r="E585" s="28"/>
      <c r="F585" s="28"/>
      <c r="G585" s="28"/>
      <c r="H585" s="28"/>
    </row>
    <row r="586">
      <c r="A586" s="28"/>
      <c r="B586" s="28"/>
      <c r="C586" s="28"/>
      <c r="D586" s="28"/>
      <c r="E586" s="28"/>
      <c r="F586" s="28"/>
      <c r="G586" s="28"/>
      <c r="H586" s="28"/>
    </row>
    <row r="587">
      <c r="A587" s="28"/>
      <c r="B587" s="28"/>
      <c r="C587" s="28"/>
      <c r="D587" s="28"/>
      <c r="E587" s="28"/>
      <c r="F587" s="28"/>
      <c r="G587" s="28"/>
      <c r="H587" s="28"/>
    </row>
    <row r="588">
      <c r="A588" s="28"/>
      <c r="B588" s="28"/>
      <c r="C588" s="28"/>
      <c r="D588" s="28"/>
      <c r="E588" s="28"/>
      <c r="F588" s="28"/>
      <c r="G588" s="28"/>
      <c r="H588" s="28"/>
    </row>
    <row r="589">
      <c r="A589" s="28"/>
      <c r="B589" s="28"/>
      <c r="C589" s="28"/>
      <c r="D589" s="28"/>
      <c r="E589" s="28"/>
      <c r="F589" s="28"/>
      <c r="G589" s="28"/>
      <c r="H589" s="28"/>
    </row>
    <row r="590">
      <c r="A590" s="28"/>
      <c r="B590" s="28"/>
      <c r="C590" s="28"/>
      <c r="D590" s="28"/>
      <c r="E590" s="28"/>
      <c r="F590" s="28"/>
      <c r="G590" s="28"/>
      <c r="H590" s="28"/>
    </row>
    <row r="591">
      <c r="A591" s="28"/>
      <c r="B591" s="28"/>
      <c r="C591" s="28"/>
      <c r="D591" s="28"/>
      <c r="E591" s="28"/>
      <c r="F591" s="28"/>
      <c r="G591" s="28"/>
      <c r="H591" s="28"/>
    </row>
    <row r="592">
      <c r="A592" s="28"/>
      <c r="B592" s="28"/>
      <c r="C592" s="28"/>
      <c r="D592" s="28"/>
      <c r="E592" s="28"/>
      <c r="F592" s="28"/>
      <c r="G592" s="28"/>
      <c r="H592" s="28"/>
    </row>
    <row r="593">
      <c r="A593" s="28"/>
      <c r="B593" s="28"/>
      <c r="C593" s="28"/>
      <c r="D593" s="28"/>
      <c r="E593" s="28"/>
      <c r="F593" s="28"/>
      <c r="G593" s="28"/>
      <c r="H593" s="28"/>
    </row>
    <row r="594">
      <c r="A594" s="28"/>
      <c r="B594" s="28"/>
      <c r="C594" s="28"/>
      <c r="D594" s="28"/>
      <c r="E594" s="28"/>
      <c r="F594" s="28"/>
      <c r="G594" s="28"/>
      <c r="H594" s="28"/>
    </row>
    <row r="595">
      <c r="A595" s="28"/>
      <c r="B595" s="28"/>
      <c r="C595" s="28"/>
      <c r="D595" s="28"/>
      <c r="E595" s="28"/>
      <c r="F595" s="28"/>
      <c r="G595" s="28"/>
      <c r="H595" s="28"/>
    </row>
    <row r="596">
      <c r="A596" s="28"/>
      <c r="B596" s="28"/>
      <c r="C596" s="28"/>
      <c r="D596" s="28"/>
      <c r="E596" s="28"/>
      <c r="F596" s="28"/>
      <c r="G596" s="28"/>
      <c r="H596" s="28"/>
    </row>
    <row r="597">
      <c r="A597" s="28"/>
      <c r="B597" s="28"/>
      <c r="C597" s="28"/>
      <c r="D597" s="28"/>
      <c r="E597" s="28"/>
      <c r="F597" s="28"/>
      <c r="G597" s="28"/>
      <c r="H597" s="28"/>
    </row>
    <row r="598">
      <c r="A598" s="28"/>
      <c r="B598" s="28"/>
      <c r="C598" s="28"/>
      <c r="D598" s="28"/>
      <c r="E598" s="28"/>
      <c r="F598" s="28"/>
      <c r="G598" s="28"/>
      <c r="H598" s="28"/>
    </row>
    <row r="599">
      <c r="A599" s="28"/>
      <c r="B599" s="28"/>
      <c r="C599" s="28"/>
      <c r="D599" s="28"/>
      <c r="E599" s="28"/>
      <c r="F599" s="28"/>
      <c r="G599" s="28"/>
      <c r="H599" s="28"/>
    </row>
    <row r="600">
      <c r="A600" s="28"/>
      <c r="B600" s="28"/>
      <c r="C600" s="28"/>
      <c r="D600" s="28"/>
      <c r="E600" s="28"/>
      <c r="F600" s="28"/>
      <c r="G600" s="28"/>
      <c r="H600" s="28"/>
    </row>
    <row r="601">
      <c r="A601" s="28"/>
      <c r="B601" s="28"/>
      <c r="C601" s="28"/>
      <c r="D601" s="28"/>
      <c r="E601" s="28"/>
      <c r="F601" s="28"/>
      <c r="G601" s="28"/>
      <c r="H601" s="28"/>
    </row>
    <row r="602">
      <c r="A602" s="28"/>
      <c r="B602" s="28"/>
      <c r="C602" s="28"/>
      <c r="D602" s="28"/>
      <c r="E602" s="28"/>
      <c r="F602" s="28"/>
      <c r="G602" s="28"/>
      <c r="H602" s="28"/>
    </row>
    <row r="603">
      <c r="A603" s="28"/>
      <c r="B603" s="28"/>
      <c r="C603" s="28"/>
      <c r="D603" s="28"/>
      <c r="E603" s="28"/>
      <c r="F603" s="28"/>
      <c r="G603" s="28"/>
      <c r="H603" s="28"/>
    </row>
    <row r="604">
      <c r="A604" s="28"/>
      <c r="B604" s="28"/>
      <c r="C604" s="28"/>
      <c r="D604" s="28"/>
      <c r="E604" s="28"/>
      <c r="F604" s="28"/>
      <c r="G604" s="28"/>
      <c r="H604" s="28"/>
    </row>
    <row r="605">
      <c r="A605" s="28"/>
      <c r="B605" s="28"/>
      <c r="C605" s="28"/>
      <c r="D605" s="28"/>
      <c r="E605" s="28"/>
      <c r="F605" s="28"/>
      <c r="G605" s="28"/>
      <c r="H605" s="28"/>
    </row>
    <row r="606">
      <c r="A606" s="28"/>
      <c r="B606" s="28"/>
      <c r="C606" s="28"/>
      <c r="D606" s="28"/>
      <c r="E606" s="28"/>
      <c r="F606" s="28"/>
      <c r="G606" s="28"/>
      <c r="H606" s="28"/>
    </row>
    <row r="607">
      <c r="A607" s="28"/>
      <c r="B607" s="28"/>
      <c r="C607" s="28"/>
      <c r="D607" s="28"/>
      <c r="E607" s="28"/>
      <c r="F607" s="28"/>
      <c r="G607" s="28"/>
      <c r="H607" s="28"/>
    </row>
    <row r="608">
      <c r="A608" s="28"/>
      <c r="B608" s="28"/>
      <c r="C608" s="28"/>
      <c r="D608" s="28"/>
      <c r="E608" s="28"/>
      <c r="F608" s="28"/>
      <c r="G608" s="28"/>
      <c r="H608" s="28"/>
    </row>
    <row r="609">
      <c r="A609" s="28"/>
      <c r="B609" s="28"/>
      <c r="C609" s="28"/>
      <c r="D609" s="28"/>
      <c r="E609" s="28"/>
      <c r="F609" s="28"/>
      <c r="G609" s="28"/>
      <c r="H609" s="28"/>
    </row>
    <row r="610">
      <c r="A610" s="28"/>
      <c r="B610" s="28"/>
      <c r="C610" s="28"/>
      <c r="D610" s="28"/>
      <c r="E610" s="28"/>
      <c r="F610" s="28"/>
      <c r="G610" s="28"/>
      <c r="H610" s="28"/>
    </row>
    <row r="611">
      <c r="A611" s="28"/>
      <c r="B611" s="28"/>
      <c r="C611" s="28"/>
      <c r="D611" s="28"/>
      <c r="E611" s="28"/>
      <c r="F611" s="28"/>
      <c r="G611" s="28"/>
      <c r="H611" s="28"/>
    </row>
    <row r="612">
      <c r="A612" s="28"/>
      <c r="B612" s="28"/>
      <c r="C612" s="28"/>
      <c r="D612" s="28"/>
      <c r="E612" s="28"/>
      <c r="F612" s="28"/>
      <c r="G612" s="28"/>
      <c r="H612" s="28"/>
    </row>
    <row r="613">
      <c r="A613" s="28"/>
      <c r="B613" s="28"/>
      <c r="C613" s="28"/>
      <c r="D613" s="28"/>
      <c r="E613" s="28"/>
      <c r="F613" s="28"/>
      <c r="G613" s="28"/>
      <c r="H613" s="28"/>
    </row>
    <row r="614">
      <c r="A614" s="28"/>
      <c r="B614" s="28"/>
      <c r="C614" s="28"/>
      <c r="D614" s="28"/>
      <c r="E614" s="28"/>
      <c r="F614" s="28"/>
      <c r="G614" s="28"/>
      <c r="H614" s="28"/>
    </row>
    <row r="615">
      <c r="A615" s="28"/>
      <c r="B615" s="28"/>
      <c r="C615" s="28"/>
      <c r="D615" s="28"/>
      <c r="E615" s="28"/>
      <c r="F615" s="28"/>
      <c r="G615" s="28"/>
      <c r="H615" s="28"/>
    </row>
    <row r="616">
      <c r="A616" s="28"/>
      <c r="B616" s="28"/>
      <c r="C616" s="28"/>
      <c r="D616" s="28"/>
      <c r="E616" s="28"/>
      <c r="F616" s="28"/>
      <c r="G616" s="28"/>
      <c r="H616" s="28"/>
    </row>
    <row r="617">
      <c r="A617" s="28"/>
      <c r="B617" s="28"/>
      <c r="C617" s="28"/>
      <c r="D617" s="28"/>
      <c r="E617" s="28"/>
      <c r="F617" s="28"/>
      <c r="G617" s="28"/>
      <c r="H617" s="28"/>
    </row>
    <row r="618">
      <c r="A618" s="28"/>
      <c r="B618" s="28"/>
      <c r="C618" s="28"/>
      <c r="D618" s="28"/>
      <c r="E618" s="28"/>
      <c r="F618" s="28"/>
      <c r="G618" s="28"/>
      <c r="H618" s="28"/>
    </row>
    <row r="619">
      <c r="A619" s="28"/>
      <c r="B619" s="28"/>
      <c r="C619" s="28"/>
      <c r="D619" s="28"/>
      <c r="E619" s="28"/>
      <c r="F619" s="28"/>
      <c r="G619" s="28"/>
      <c r="H619" s="28"/>
    </row>
    <row r="620">
      <c r="A620" s="28"/>
      <c r="B620" s="28"/>
      <c r="C620" s="28"/>
      <c r="D620" s="28"/>
      <c r="E620" s="28"/>
      <c r="F620" s="28"/>
      <c r="G620" s="28"/>
      <c r="H620" s="28"/>
    </row>
    <row r="621">
      <c r="A621" s="28"/>
      <c r="B621" s="28"/>
      <c r="C621" s="28"/>
      <c r="D621" s="28"/>
      <c r="E621" s="28"/>
      <c r="F621" s="28"/>
      <c r="G621" s="28"/>
      <c r="H621" s="28"/>
    </row>
    <row r="622">
      <c r="A622" s="28"/>
      <c r="B622" s="28"/>
      <c r="C622" s="28"/>
      <c r="D622" s="28"/>
      <c r="E622" s="28"/>
      <c r="F622" s="28"/>
      <c r="G622" s="28"/>
      <c r="H622" s="28"/>
    </row>
    <row r="623">
      <c r="A623" s="28"/>
      <c r="B623" s="28"/>
      <c r="C623" s="28"/>
      <c r="D623" s="28"/>
      <c r="E623" s="28"/>
      <c r="F623" s="28"/>
      <c r="G623" s="28"/>
      <c r="H623" s="28"/>
    </row>
    <row r="624">
      <c r="A624" s="28"/>
      <c r="B624" s="28"/>
      <c r="C624" s="28"/>
      <c r="D624" s="28"/>
      <c r="E624" s="28"/>
      <c r="F624" s="28"/>
      <c r="G624" s="28"/>
      <c r="H624" s="28"/>
    </row>
    <row r="625">
      <c r="A625" s="28"/>
      <c r="B625" s="28"/>
      <c r="C625" s="28"/>
      <c r="D625" s="28"/>
      <c r="E625" s="28"/>
      <c r="F625" s="28"/>
      <c r="G625" s="28"/>
      <c r="H625" s="28"/>
    </row>
    <row r="626">
      <c r="A626" s="28"/>
      <c r="B626" s="28"/>
      <c r="C626" s="28"/>
      <c r="D626" s="28"/>
      <c r="E626" s="28"/>
      <c r="F626" s="28"/>
      <c r="G626" s="28"/>
      <c r="H626" s="28"/>
    </row>
    <row r="627">
      <c r="A627" s="28"/>
      <c r="B627" s="28"/>
      <c r="C627" s="28"/>
      <c r="D627" s="28"/>
      <c r="E627" s="28"/>
      <c r="F627" s="28"/>
      <c r="G627" s="28"/>
      <c r="H627" s="28"/>
    </row>
    <row r="628">
      <c r="A628" s="28"/>
      <c r="B628" s="28"/>
      <c r="C628" s="28"/>
      <c r="D628" s="28"/>
      <c r="E628" s="28"/>
      <c r="F628" s="28"/>
      <c r="G628" s="28"/>
      <c r="H628" s="28"/>
    </row>
    <row r="629">
      <c r="A629" s="28"/>
      <c r="B629" s="28"/>
      <c r="C629" s="28"/>
      <c r="D629" s="28"/>
      <c r="E629" s="28"/>
      <c r="F629" s="28"/>
      <c r="G629" s="28"/>
      <c r="H629" s="28"/>
    </row>
    <row r="630">
      <c r="A630" s="28"/>
      <c r="B630" s="28"/>
      <c r="C630" s="28"/>
      <c r="D630" s="28"/>
      <c r="E630" s="28"/>
      <c r="F630" s="28"/>
      <c r="G630" s="28"/>
      <c r="H630" s="28"/>
    </row>
    <row r="631">
      <c r="A631" s="28"/>
      <c r="B631" s="28"/>
      <c r="C631" s="28"/>
      <c r="D631" s="28"/>
      <c r="E631" s="28"/>
      <c r="F631" s="28"/>
      <c r="G631" s="28"/>
      <c r="H631" s="28"/>
    </row>
    <row r="632">
      <c r="A632" s="28"/>
      <c r="B632" s="28"/>
      <c r="C632" s="28"/>
      <c r="D632" s="28"/>
      <c r="E632" s="28"/>
      <c r="F632" s="28"/>
      <c r="G632" s="28"/>
      <c r="H632" s="28"/>
    </row>
    <row r="633">
      <c r="A633" s="28"/>
      <c r="B633" s="28"/>
      <c r="C633" s="28"/>
      <c r="D633" s="28"/>
      <c r="E633" s="28"/>
      <c r="F633" s="28"/>
      <c r="G633" s="28"/>
      <c r="H633" s="28"/>
    </row>
    <row r="634">
      <c r="A634" s="28"/>
      <c r="B634" s="28"/>
      <c r="C634" s="28"/>
      <c r="D634" s="28"/>
      <c r="E634" s="28"/>
      <c r="F634" s="28"/>
      <c r="G634" s="28"/>
      <c r="H634" s="28"/>
    </row>
    <row r="635">
      <c r="A635" s="28"/>
      <c r="B635" s="28"/>
      <c r="C635" s="28"/>
      <c r="D635" s="28"/>
      <c r="E635" s="28"/>
      <c r="F635" s="28"/>
      <c r="G635" s="28"/>
      <c r="H635" s="28"/>
    </row>
    <row r="636">
      <c r="A636" s="28"/>
      <c r="B636" s="28"/>
      <c r="C636" s="28"/>
      <c r="D636" s="28"/>
      <c r="E636" s="28"/>
      <c r="F636" s="28"/>
      <c r="G636" s="28"/>
      <c r="H636" s="28"/>
    </row>
    <row r="637">
      <c r="A637" s="28"/>
      <c r="B637" s="28"/>
      <c r="C637" s="28"/>
      <c r="D637" s="28"/>
      <c r="E637" s="28"/>
      <c r="F637" s="28"/>
      <c r="G637" s="28"/>
      <c r="H637" s="28"/>
    </row>
    <row r="638">
      <c r="A638" s="28"/>
      <c r="B638" s="28"/>
      <c r="C638" s="28"/>
      <c r="D638" s="28"/>
      <c r="E638" s="28"/>
      <c r="F638" s="28"/>
      <c r="G638" s="28"/>
      <c r="H638" s="28"/>
    </row>
    <row r="639">
      <c r="A639" s="28"/>
      <c r="B639" s="28"/>
      <c r="C639" s="28"/>
      <c r="D639" s="28"/>
      <c r="E639" s="28"/>
      <c r="F639" s="28"/>
      <c r="G639" s="28"/>
      <c r="H639" s="28"/>
    </row>
    <row r="640">
      <c r="A640" s="28"/>
      <c r="B640" s="28"/>
      <c r="C640" s="28"/>
      <c r="D640" s="28"/>
      <c r="E640" s="28"/>
      <c r="F640" s="28"/>
      <c r="G640" s="28"/>
      <c r="H640" s="28"/>
    </row>
    <row r="641">
      <c r="A641" s="28"/>
      <c r="B641" s="28"/>
      <c r="C641" s="28"/>
      <c r="D641" s="28"/>
      <c r="E641" s="28"/>
      <c r="F641" s="28"/>
      <c r="G641" s="28"/>
      <c r="H641" s="28"/>
    </row>
    <row r="642">
      <c r="A642" s="28"/>
      <c r="B642" s="28"/>
      <c r="C642" s="28"/>
      <c r="D642" s="28"/>
      <c r="E642" s="28"/>
      <c r="F642" s="28"/>
      <c r="G642" s="28"/>
      <c r="H642" s="28"/>
    </row>
    <row r="643">
      <c r="A643" s="28"/>
      <c r="B643" s="28"/>
      <c r="C643" s="28"/>
      <c r="D643" s="28"/>
      <c r="E643" s="28"/>
      <c r="F643" s="28"/>
      <c r="G643" s="28"/>
      <c r="H643" s="28"/>
    </row>
    <row r="644">
      <c r="A644" s="28"/>
      <c r="B644" s="28"/>
      <c r="C644" s="28"/>
      <c r="D644" s="28"/>
      <c r="E644" s="28"/>
      <c r="F644" s="28"/>
      <c r="G644" s="28"/>
      <c r="H644" s="28"/>
    </row>
    <row r="645">
      <c r="A645" s="28"/>
      <c r="B645" s="28"/>
      <c r="C645" s="28"/>
      <c r="D645" s="28"/>
      <c r="E645" s="28"/>
      <c r="F645" s="28"/>
      <c r="G645" s="28"/>
      <c r="H645" s="28"/>
    </row>
    <row r="646">
      <c r="A646" s="28"/>
      <c r="B646" s="28"/>
      <c r="C646" s="28"/>
      <c r="D646" s="28"/>
      <c r="E646" s="28"/>
      <c r="F646" s="28"/>
      <c r="G646" s="28"/>
      <c r="H646" s="28"/>
    </row>
    <row r="647">
      <c r="A647" s="28"/>
      <c r="B647" s="28"/>
      <c r="C647" s="28"/>
      <c r="D647" s="28"/>
      <c r="E647" s="28"/>
      <c r="F647" s="28"/>
      <c r="G647" s="28"/>
      <c r="H647" s="28"/>
    </row>
    <row r="648">
      <c r="A648" s="28"/>
      <c r="B648" s="28"/>
      <c r="C648" s="28"/>
      <c r="D648" s="28"/>
      <c r="E648" s="28"/>
      <c r="F648" s="28"/>
      <c r="G648" s="28"/>
      <c r="H648" s="28"/>
    </row>
    <row r="649">
      <c r="A649" s="28"/>
      <c r="B649" s="28"/>
      <c r="C649" s="28"/>
      <c r="D649" s="28"/>
      <c r="E649" s="28"/>
      <c r="F649" s="28"/>
      <c r="G649" s="28"/>
      <c r="H649" s="28"/>
    </row>
    <row r="650">
      <c r="A650" s="28"/>
      <c r="B650" s="28"/>
      <c r="C650" s="28"/>
      <c r="D650" s="28"/>
      <c r="E650" s="28"/>
      <c r="F650" s="28"/>
      <c r="G650" s="28"/>
      <c r="H650" s="28"/>
    </row>
    <row r="651">
      <c r="A651" s="28"/>
      <c r="B651" s="28"/>
      <c r="C651" s="28"/>
      <c r="D651" s="28"/>
      <c r="E651" s="28"/>
      <c r="F651" s="28"/>
      <c r="G651" s="28"/>
      <c r="H651" s="28"/>
    </row>
    <row r="652">
      <c r="A652" s="28"/>
      <c r="B652" s="28"/>
      <c r="C652" s="28"/>
      <c r="D652" s="28"/>
      <c r="E652" s="28"/>
      <c r="F652" s="28"/>
      <c r="G652" s="28"/>
      <c r="H652" s="28"/>
    </row>
    <row r="653">
      <c r="A653" s="28"/>
      <c r="B653" s="28"/>
      <c r="C653" s="28"/>
      <c r="D653" s="28"/>
      <c r="E653" s="28"/>
      <c r="F653" s="28"/>
      <c r="G653" s="28"/>
      <c r="H653" s="28"/>
    </row>
    <row r="654">
      <c r="A654" s="28"/>
      <c r="B654" s="28"/>
      <c r="C654" s="28"/>
      <c r="D654" s="28"/>
      <c r="E654" s="28"/>
      <c r="F654" s="28"/>
      <c r="G654" s="28"/>
      <c r="H654" s="28"/>
    </row>
    <row r="655">
      <c r="A655" s="28"/>
      <c r="B655" s="28"/>
      <c r="C655" s="28"/>
      <c r="D655" s="28"/>
      <c r="E655" s="28"/>
      <c r="F655" s="28"/>
      <c r="G655" s="28"/>
      <c r="H655" s="28"/>
    </row>
    <row r="656">
      <c r="A656" s="28"/>
      <c r="B656" s="28"/>
      <c r="C656" s="28"/>
      <c r="D656" s="28"/>
      <c r="E656" s="28"/>
      <c r="F656" s="28"/>
      <c r="G656" s="28"/>
      <c r="H656" s="28"/>
    </row>
    <row r="657">
      <c r="A657" s="28"/>
      <c r="B657" s="28"/>
      <c r="C657" s="28"/>
      <c r="D657" s="28"/>
      <c r="E657" s="28"/>
      <c r="F657" s="28"/>
      <c r="G657" s="28"/>
      <c r="H657" s="28"/>
    </row>
    <row r="658">
      <c r="A658" s="28"/>
      <c r="B658" s="28"/>
      <c r="C658" s="28"/>
      <c r="D658" s="28"/>
      <c r="E658" s="28"/>
      <c r="F658" s="28"/>
      <c r="G658" s="28"/>
      <c r="H658" s="28"/>
    </row>
    <row r="659">
      <c r="A659" s="28"/>
      <c r="B659" s="28"/>
      <c r="C659" s="28"/>
      <c r="D659" s="28"/>
      <c r="E659" s="28"/>
      <c r="F659" s="28"/>
      <c r="G659" s="28"/>
      <c r="H659" s="28"/>
    </row>
    <row r="660">
      <c r="A660" s="28"/>
      <c r="B660" s="28"/>
      <c r="C660" s="28"/>
      <c r="D660" s="28"/>
      <c r="E660" s="28"/>
      <c r="F660" s="28"/>
      <c r="G660" s="28"/>
      <c r="H660" s="28"/>
    </row>
    <row r="661">
      <c r="A661" s="28"/>
      <c r="B661" s="28"/>
      <c r="C661" s="28"/>
      <c r="D661" s="28"/>
      <c r="E661" s="28"/>
      <c r="F661" s="28"/>
      <c r="G661" s="28"/>
      <c r="H661" s="28"/>
    </row>
    <row r="662">
      <c r="A662" s="28"/>
      <c r="B662" s="28"/>
      <c r="C662" s="28"/>
      <c r="D662" s="28"/>
      <c r="E662" s="28"/>
      <c r="F662" s="28"/>
      <c r="G662" s="28"/>
      <c r="H662" s="28"/>
    </row>
    <row r="663">
      <c r="A663" s="28"/>
      <c r="B663" s="28"/>
      <c r="C663" s="28"/>
      <c r="D663" s="28"/>
      <c r="E663" s="28"/>
      <c r="F663" s="28"/>
      <c r="G663" s="28"/>
      <c r="H663" s="28"/>
    </row>
    <row r="664">
      <c r="A664" s="28"/>
      <c r="B664" s="28"/>
      <c r="C664" s="28"/>
      <c r="D664" s="28"/>
      <c r="E664" s="28"/>
      <c r="F664" s="28"/>
      <c r="G664" s="28"/>
      <c r="H664" s="28"/>
    </row>
    <row r="665">
      <c r="A665" s="28"/>
      <c r="B665" s="28"/>
      <c r="C665" s="28"/>
      <c r="D665" s="28"/>
      <c r="E665" s="28"/>
      <c r="F665" s="28"/>
      <c r="G665" s="28"/>
      <c r="H665" s="28"/>
    </row>
    <row r="666">
      <c r="A666" s="28"/>
      <c r="B666" s="28"/>
      <c r="C666" s="28"/>
      <c r="D666" s="28"/>
      <c r="E666" s="28"/>
      <c r="F666" s="28"/>
      <c r="G666" s="28"/>
      <c r="H666" s="28"/>
    </row>
    <row r="667">
      <c r="A667" s="28"/>
      <c r="B667" s="28"/>
      <c r="C667" s="28"/>
      <c r="D667" s="28"/>
      <c r="E667" s="28"/>
      <c r="F667" s="28"/>
      <c r="G667" s="28"/>
      <c r="H667" s="28"/>
    </row>
    <row r="668">
      <c r="A668" s="28"/>
      <c r="B668" s="28"/>
      <c r="C668" s="28"/>
      <c r="D668" s="28"/>
      <c r="E668" s="28"/>
      <c r="F668" s="28"/>
      <c r="G668" s="28"/>
      <c r="H668" s="28"/>
    </row>
    <row r="669">
      <c r="A669" s="28"/>
      <c r="B669" s="28"/>
      <c r="C669" s="28"/>
      <c r="D669" s="28"/>
      <c r="E669" s="28"/>
      <c r="F669" s="28"/>
      <c r="G669" s="28"/>
      <c r="H669" s="28"/>
    </row>
    <row r="670">
      <c r="A670" s="28"/>
      <c r="B670" s="28"/>
      <c r="C670" s="28"/>
      <c r="D670" s="28"/>
      <c r="E670" s="28"/>
      <c r="F670" s="28"/>
      <c r="G670" s="28"/>
      <c r="H670" s="28"/>
    </row>
    <row r="671">
      <c r="A671" s="28"/>
      <c r="B671" s="28"/>
      <c r="C671" s="28"/>
      <c r="D671" s="28"/>
      <c r="E671" s="28"/>
      <c r="F671" s="28"/>
      <c r="G671" s="28"/>
      <c r="H671" s="28"/>
    </row>
    <row r="672">
      <c r="A672" s="28"/>
      <c r="B672" s="28"/>
      <c r="C672" s="28"/>
      <c r="D672" s="28"/>
      <c r="E672" s="28"/>
      <c r="F672" s="28"/>
      <c r="G672" s="28"/>
      <c r="H672" s="28"/>
    </row>
    <row r="673">
      <c r="A673" s="28"/>
      <c r="B673" s="28"/>
      <c r="C673" s="28"/>
      <c r="D673" s="28"/>
      <c r="E673" s="28"/>
      <c r="F673" s="28"/>
      <c r="G673" s="28"/>
      <c r="H673" s="28"/>
    </row>
    <row r="674">
      <c r="A674" s="28"/>
      <c r="B674" s="28"/>
      <c r="C674" s="28"/>
      <c r="D674" s="28"/>
      <c r="E674" s="28"/>
      <c r="F674" s="28"/>
      <c r="G674" s="28"/>
      <c r="H674" s="28"/>
    </row>
    <row r="675">
      <c r="A675" s="28"/>
      <c r="B675" s="28"/>
      <c r="C675" s="28"/>
      <c r="D675" s="28"/>
      <c r="E675" s="28"/>
      <c r="F675" s="28"/>
      <c r="G675" s="28"/>
      <c r="H675" s="28"/>
    </row>
    <row r="676">
      <c r="A676" s="28"/>
      <c r="B676" s="28"/>
      <c r="C676" s="28"/>
      <c r="D676" s="28"/>
      <c r="E676" s="28"/>
      <c r="F676" s="28"/>
      <c r="G676" s="28"/>
      <c r="H676" s="28"/>
    </row>
    <row r="677">
      <c r="A677" s="28"/>
      <c r="B677" s="28"/>
      <c r="C677" s="28"/>
      <c r="D677" s="28"/>
      <c r="E677" s="28"/>
      <c r="F677" s="28"/>
      <c r="G677" s="28"/>
      <c r="H677" s="28"/>
    </row>
    <row r="678">
      <c r="A678" s="28"/>
      <c r="B678" s="28"/>
      <c r="C678" s="28"/>
      <c r="D678" s="28"/>
      <c r="E678" s="28"/>
      <c r="F678" s="28"/>
      <c r="G678" s="28"/>
      <c r="H678" s="28"/>
    </row>
    <row r="679">
      <c r="A679" s="28"/>
      <c r="B679" s="28"/>
      <c r="C679" s="28"/>
      <c r="D679" s="28"/>
      <c r="E679" s="28"/>
      <c r="F679" s="28"/>
      <c r="G679" s="28"/>
      <c r="H679" s="28"/>
    </row>
    <row r="680">
      <c r="A680" s="28"/>
      <c r="B680" s="28"/>
      <c r="C680" s="28"/>
      <c r="D680" s="28"/>
      <c r="E680" s="28"/>
      <c r="F680" s="28"/>
      <c r="G680" s="28"/>
      <c r="H680" s="28"/>
    </row>
    <row r="681">
      <c r="A681" s="28"/>
      <c r="B681" s="28"/>
      <c r="C681" s="28"/>
      <c r="D681" s="28"/>
      <c r="E681" s="28"/>
      <c r="F681" s="28"/>
      <c r="G681" s="28"/>
      <c r="H681" s="28"/>
    </row>
    <row r="682">
      <c r="A682" s="28"/>
      <c r="B682" s="28"/>
      <c r="C682" s="28"/>
      <c r="D682" s="28"/>
      <c r="E682" s="28"/>
      <c r="F682" s="28"/>
      <c r="G682" s="28"/>
      <c r="H682" s="28"/>
    </row>
    <row r="683">
      <c r="A683" s="28"/>
      <c r="B683" s="28"/>
      <c r="C683" s="28"/>
      <c r="D683" s="28"/>
      <c r="E683" s="28"/>
      <c r="F683" s="28"/>
      <c r="G683" s="28"/>
      <c r="H683" s="28"/>
    </row>
    <row r="684">
      <c r="A684" s="28"/>
      <c r="B684" s="28"/>
      <c r="C684" s="28"/>
      <c r="D684" s="28"/>
      <c r="E684" s="28"/>
      <c r="F684" s="28"/>
      <c r="G684" s="28"/>
      <c r="H684" s="28"/>
    </row>
    <row r="685">
      <c r="A685" s="28"/>
      <c r="B685" s="28"/>
      <c r="C685" s="28"/>
      <c r="D685" s="28"/>
      <c r="E685" s="28"/>
      <c r="F685" s="28"/>
      <c r="G685" s="28"/>
      <c r="H685" s="28"/>
    </row>
    <row r="686">
      <c r="A686" s="28"/>
      <c r="B686" s="28"/>
      <c r="C686" s="28"/>
      <c r="D686" s="28"/>
      <c r="E686" s="28"/>
      <c r="F686" s="28"/>
      <c r="G686" s="28"/>
      <c r="H686" s="28"/>
    </row>
    <row r="687">
      <c r="A687" s="28"/>
      <c r="B687" s="28"/>
      <c r="C687" s="28"/>
      <c r="D687" s="28"/>
      <c r="E687" s="28"/>
      <c r="F687" s="28"/>
      <c r="G687" s="28"/>
      <c r="H687" s="28"/>
    </row>
    <row r="688">
      <c r="A688" s="28"/>
      <c r="B688" s="28"/>
      <c r="C688" s="28"/>
      <c r="D688" s="28"/>
      <c r="E688" s="28"/>
      <c r="F688" s="28"/>
      <c r="G688" s="28"/>
      <c r="H688" s="28"/>
    </row>
    <row r="689">
      <c r="A689" s="28"/>
      <c r="B689" s="28"/>
      <c r="C689" s="28"/>
      <c r="D689" s="28"/>
      <c r="E689" s="28"/>
      <c r="F689" s="28"/>
      <c r="G689" s="28"/>
      <c r="H689" s="28"/>
    </row>
    <row r="690">
      <c r="A690" s="28"/>
      <c r="B690" s="28"/>
      <c r="C690" s="28"/>
      <c r="D690" s="28"/>
      <c r="E690" s="28"/>
      <c r="F690" s="28"/>
      <c r="G690" s="28"/>
      <c r="H690" s="28"/>
    </row>
    <row r="691">
      <c r="A691" s="28"/>
      <c r="B691" s="28"/>
      <c r="C691" s="28"/>
      <c r="D691" s="28"/>
      <c r="E691" s="28"/>
      <c r="F691" s="28"/>
      <c r="G691" s="28"/>
      <c r="H691" s="28"/>
    </row>
    <row r="692">
      <c r="A692" s="28"/>
      <c r="B692" s="28"/>
      <c r="C692" s="28"/>
      <c r="D692" s="28"/>
      <c r="E692" s="28"/>
      <c r="F692" s="28"/>
      <c r="G692" s="28"/>
      <c r="H692" s="28"/>
    </row>
    <row r="693">
      <c r="A693" s="28"/>
      <c r="B693" s="28"/>
      <c r="C693" s="28"/>
      <c r="D693" s="28"/>
      <c r="E693" s="28"/>
      <c r="F693" s="28"/>
      <c r="G693" s="28"/>
      <c r="H693" s="28"/>
    </row>
    <row r="694">
      <c r="A694" s="28"/>
      <c r="B694" s="28"/>
      <c r="C694" s="28"/>
      <c r="D694" s="28"/>
      <c r="E694" s="28"/>
      <c r="F694" s="28"/>
      <c r="G694" s="28"/>
      <c r="H694" s="28"/>
    </row>
    <row r="695">
      <c r="A695" s="28"/>
      <c r="B695" s="28"/>
      <c r="C695" s="28"/>
      <c r="D695" s="28"/>
      <c r="E695" s="28"/>
      <c r="F695" s="28"/>
      <c r="G695" s="28"/>
      <c r="H695" s="28"/>
    </row>
    <row r="696">
      <c r="A696" s="28"/>
      <c r="B696" s="28"/>
      <c r="C696" s="28"/>
      <c r="D696" s="28"/>
      <c r="E696" s="28"/>
      <c r="F696" s="28"/>
      <c r="G696" s="28"/>
      <c r="H696" s="28"/>
    </row>
    <row r="697">
      <c r="A697" s="28"/>
      <c r="B697" s="28"/>
      <c r="C697" s="28"/>
      <c r="D697" s="28"/>
      <c r="E697" s="28"/>
      <c r="F697" s="28"/>
      <c r="G697" s="28"/>
      <c r="H697" s="28"/>
    </row>
    <row r="698">
      <c r="A698" s="28"/>
      <c r="B698" s="28"/>
      <c r="C698" s="28"/>
      <c r="D698" s="28"/>
      <c r="E698" s="28"/>
      <c r="F698" s="28"/>
      <c r="G698" s="28"/>
      <c r="H698" s="28"/>
    </row>
    <row r="699">
      <c r="A699" s="28"/>
      <c r="B699" s="28"/>
      <c r="C699" s="28"/>
      <c r="D699" s="28"/>
      <c r="E699" s="28"/>
      <c r="F699" s="28"/>
      <c r="G699" s="28"/>
      <c r="H699" s="28"/>
    </row>
    <row r="700">
      <c r="A700" s="28"/>
      <c r="B700" s="28"/>
      <c r="C700" s="28"/>
      <c r="D700" s="28"/>
      <c r="E700" s="28"/>
      <c r="F700" s="28"/>
      <c r="G700" s="28"/>
      <c r="H700" s="28"/>
    </row>
    <row r="701">
      <c r="A701" s="28"/>
      <c r="B701" s="28"/>
      <c r="C701" s="28"/>
      <c r="D701" s="28"/>
      <c r="E701" s="28"/>
      <c r="F701" s="28"/>
      <c r="G701" s="28"/>
      <c r="H701" s="28"/>
    </row>
    <row r="702">
      <c r="A702" s="28"/>
      <c r="B702" s="28"/>
      <c r="C702" s="28"/>
      <c r="D702" s="28"/>
      <c r="E702" s="28"/>
      <c r="F702" s="28"/>
      <c r="G702" s="28"/>
      <c r="H702" s="28"/>
    </row>
    <row r="703">
      <c r="A703" s="28"/>
      <c r="B703" s="28"/>
      <c r="C703" s="28"/>
      <c r="D703" s="28"/>
      <c r="E703" s="28"/>
      <c r="F703" s="28"/>
      <c r="G703" s="28"/>
      <c r="H703" s="28"/>
    </row>
    <row r="704">
      <c r="A704" s="28"/>
      <c r="B704" s="28"/>
      <c r="C704" s="28"/>
      <c r="D704" s="28"/>
      <c r="E704" s="28"/>
      <c r="F704" s="28"/>
      <c r="G704" s="28"/>
      <c r="H704" s="28"/>
    </row>
    <row r="705">
      <c r="A705" s="28"/>
      <c r="B705" s="28"/>
      <c r="C705" s="28"/>
      <c r="D705" s="28"/>
      <c r="E705" s="28"/>
      <c r="F705" s="28"/>
      <c r="G705" s="28"/>
      <c r="H705" s="28"/>
    </row>
    <row r="706">
      <c r="A706" s="28"/>
      <c r="B706" s="28"/>
      <c r="C706" s="28"/>
      <c r="D706" s="28"/>
      <c r="E706" s="28"/>
      <c r="F706" s="28"/>
      <c r="G706" s="28"/>
      <c r="H706" s="28"/>
    </row>
    <row r="707">
      <c r="A707" s="28"/>
      <c r="B707" s="28"/>
      <c r="C707" s="28"/>
      <c r="D707" s="28"/>
      <c r="E707" s="28"/>
      <c r="F707" s="28"/>
      <c r="G707" s="28"/>
      <c r="H707" s="28"/>
    </row>
    <row r="708">
      <c r="A708" s="28"/>
      <c r="B708" s="28"/>
      <c r="C708" s="28"/>
      <c r="D708" s="28"/>
      <c r="E708" s="28"/>
      <c r="F708" s="28"/>
      <c r="G708" s="28"/>
      <c r="H708" s="28"/>
    </row>
    <row r="709">
      <c r="A709" s="28"/>
      <c r="B709" s="28"/>
      <c r="C709" s="28"/>
      <c r="D709" s="28"/>
      <c r="E709" s="28"/>
      <c r="F709" s="28"/>
      <c r="G709" s="28"/>
      <c r="H709" s="28"/>
    </row>
    <row r="710">
      <c r="A710" s="28"/>
      <c r="B710" s="28"/>
      <c r="C710" s="28"/>
      <c r="D710" s="28"/>
      <c r="E710" s="28"/>
      <c r="F710" s="28"/>
      <c r="G710" s="28"/>
      <c r="H710" s="28"/>
    </row>
    <row r="711">
      <c r="A711" s="28"/>
      <c r="B711" s="28"/>
      <c r="C711" s="28"/>
      <c r="D711" s="28"/>
      <c r="E711" s="28"/>
      <c r="F711" s="28"/>
      <c r="G711" s="28"/>
      <c r="H711" s="28"/>
    </row>
    <row r="712">
      <c r="A712" s="28"/>
      <c r="B712" s="28"/>
      <c r="C712" s="28"/>
      <c r="D712" s="28"/>
      <c r="E712" s="28"/>
      <c r="F712" s="28"/>
      <c r="G712" s="28"/>
      <c r="H712" s="28"/>
    </row>
    <row r="713">
      <c r="A713" s="28"/>
      <c r="B713" s="28"/>
      <c r="C713" s="28"/>
      <c r="D713" s="28"/>
      <c r="E713" s="28"/>
      <c r="F713" s="28"/>
      <c r="G713" s="28"/>
      <c r="H713" s="28"/>
    </row>
    <row r="714">
      <c r="A714" s="28"/>
      <c r="B714" s="28"/>
      <c r="C714" s="28"/>
      <c r="D714" s="28"/>
      <c r="E714" s="28"/>
      <c r="F714" s="28"/>
      <c r="G714" s="28"/>
      <c r="H714" s="28"/>
    </row>
    <row r="715">
      <c r="A715" s="28"/>
      <c r="B715" s="28"/>
      <c r="C715" s="28"/>
      <c r="D715" s="28"/>
      <c r="E715" s="28"/>
      <c r="F715" s="28"/>
      <c r="G715" s="28"/>
      <c r="H715" s="28"/>
    </row>
    <row r="716">
      <c r="A716" s="28"/>
      <c r="B716" s="28"/>
      <c r="C716" s="28"/>
      <c r="D716" s="28"/>
      <c r="E716" s="28"/>
      <c r="F716" s="28"/>
      <c r="G716" s="28"/>
      <c r="H716" s="28"/>
    </row>
    <row r="717">
      <c r="A717" s="28"/>
      <c r="B717" s="28"/>
      <c r="C717" s="28"/>
      <c r="D717" s="28"/>
      <c r="E717" s="28"/>
      <c r="F717" s="28"/>
      <c r="G717" s="28"/>
      <c r="H717" s="28"/>
    </row>
    <row r="718">
      <c r="A718" s="28"/>
      <c r="B718" s="28"/>
      <c r="C718" s="28"/>
      <c r="D718" s="28"/>
      <c r="E718" s="28"/>
      <c r="F718" s="28"/>
      <c r="G718" s="28"/>
      <c r="H718" s="28"/>
    </row>
    <row r="719">
      <c r="A719" s="28"/>
      <c r="B719" s="28"/>
      <c r="C719" s="28"/>
      <c r="D719" s="28"/>
      <c r="E719" s="28"/>
      <c r="F719" s="28"/>
      <c r="G719" s="28"/>
      <c r="H719" s="28"/>
    </row>
    <row r="720">
      <c r="A720" s="28"/>
      <c r="B720" s="28"/>
      <c r="C720" s="28"/>
      <c r="D720" s="28"/>
      <c r="E720" s="28"/>
      <c r="F720" s="28"/>
      <c r="G720" s="28"/>
      <c r="H720" s="28"/>
    </row>
    <row r="721">
      <c r="A721" s="28"/>
      <c r="B721" s="28"/>
      <c r="C721" s="28"/>
      <c r="D721" s="28"/>
      <c r="E721" s="28"/>
      <c r="F721" s="28"/>
      <c r="G721" s="28"/>
      <c r="H721" s="28"/>
    </row>
    <row r="722">
      <c r="A722" s="28"/>
      <c r="B722" s="28"/>
      <c r="C722" s="28"/>
      <c r="D722" s="28"/>
      <c r="E722" s="28"/>
      <c r="F722" s="28"/>
      <c r="G722" s="28"/>
      <c r="H722" s="28"/>
    </row>
    <row r="723">
      <c r="A723" s="28"/>
      <c r="B723" s="28"/>
      <c r="C723" s="28"/>
      <c r="D723" s="28"/>
      <c r="E723" s="28"/>
      <c r="F723" s="28"/>
      <c r="G723" s="28"/>
      <c r="H723" s="28"/>
    </row>
    <row r="724">
      <c r="A724" s="28"/>
      <c r="B724" s="28"/>
      <c r="C724" s="28"/>
      <c r="D724" s="28"/>
      <c r="E724" s="28"/>
      <c r="F724" s="28"/>
      <c r="G724" s="28"/>
      <c r="H724" s="28"/>
    </row>
    <row r="725">
      <c r="A725" s="28"/>
      <c r="B725" s="28"/>
      <c r="C725" s="28"/>
      <c r="D725" s="28"/>
      <c r="E725" s="28"/>
      <c r="F725" s="28"/>
      <c r="G725" s="28"/>
      <c r="H725" s="28"/>
    </row>
    <row r="726">
      <c r="A726" s="28"/>
      <c r="B726" s="28"/>
      <c r="C726" s="28"/>
      <c r="D726" s="28"/>
      <c r="E726" s="28"/>
      <c r="F726" s="28"/>
      <c r="G726" s="28"/>
      <c r="H726" s="28"/>
    </row>
    <row r="727">
      <c r="A727" s="28"/>
      <c r="B727" s="28"/>
      <c r="C727" s="28"/>
      <c r="D727" s="28"/>
      <c r="E727" s="28"/>
      <c r="F727" s="28"/>
      <c r="G727" s="28"/>
      <c r="H727" s="28"/>
    </row>
    <row r="728">
      <c r="A728" s="28"/>
      <c r="B728" s="28"/>
      <c r="C728" s="28"/>
      <c r="D728" s="28"/>
      <c r="E728" s="28"/>
      <c r="F728" s="28"/>
      <c r="G728" s="28"/>
      <c r="H728" s="28"/>
    </row>
    <row r="729">
      <c r="A729" s="28"/>
      <c r="B729" s="28"/>
      <c r="C729" s="28"/>
      <c r="D729" s="28"/>
      <c r="E729" s="28"/>
      <c r="F729" s="28"/>
      <c r="G729" s="28"/>
      <c r="H729" s="28"/>
    </row>
    <row r="730">
      <c r="A730" s="28"/>
      <c r="B730" s="28"/>
      <c r="C730" s="28"/>
      <c r="D730" s="28"/>
      <c r="E730" s="28"/>
      <c r="F730" s="28"/>
      <c r="G730" s="28"/>
      <c r="H730" s="28"/>
    </row>
    <row r="731">
      <c r="A731" s="28"/>
      <c r="B731" s="28"/>
      <c r="C731" s="28"/>
      <c r="D731" s="28"/>
      <c r="E731" s="28"/>
      <c r="F731" s="28"/>
      <c r="G731" s="28"/>
      <c r="H731" s="28"/>
    </row>
    <row r="732">
      <c r="A732" s="28"/>
      <c r="B732" s="28"/>
      <c r="C732" s="28"/>
      <c r="D732" s="28"/>
      <c r="E732" s="28"/>
      <c r="F732" s="28"/>
      <c r="G732" s="28"/>
      <c r="H732" s="28"/>
    </row>
    <row r="733">
      <c r="A733" s="28"/>
      <c r="B733" s="28"/>
      <c r="C733" s="28"/>
      <c r="D733" s="28"/>
      <c r="E733" s="28"/>
      <c r="F733" s="28"/>
      <c r="G733" s="28"/>
      <c r="H733" s="28"/>
    </row>
    <row r="734">
      <c r="A734" s="28"/>
      <c r="B734" s="28"/>
      <c r="C734" s="28"/>
      <c r="D734" s="28"/>
      <c r="E734" s="28"/>
      <c r="F734" s="28"/>
      <c r="G734" s="28"/>
      <c r="H734" s="28"/>
    </row>
    <row r="735">
      <c r="A735" s="28"/>
      <c r="B735" s="28"/>
      <c r="C735" s="28"/>
      <c r="D735" s="28"/>
      <c r="E735" s="28"/>
      <c r="F735" s="28"/>
      <c r="G735" s="28"/>
      <c r="H735" s="28"/>
    </row>
    <row r="736">
      <c r="A736" s="28"/>
      <c r="B736" s="28"/>
      <c r="C736" s="28"/>
      <c r="D736" s="28"/>
      <c r="E736" s="28"/>
      <c r="F736" s="28"/>
      <c r="G736" s="28"/>
      <c r="H736" s="28"/>
    </row>
    <row r="737">
      <c r="A737" s="28"/>
      <c r="B737" s="28"/>
      <c r="C737" s="28"/>
      <c r="D737" s="28"/>
      <c r="E737" s="28"/>
      <c r="F737" s="28"/>
      <c r="G737" s="28"/>
      <c r="H737" s="28"/>
    </row>
    <row r="738">
      <c r="A738" s="28"/>
      <c r="B738" s="28"/>
      <c r="C738" s="28"/>
      <c r="D738" s="28"/>
      <c r="E738" s="28"/>
      <c r="F738" s="28"/>
      <c r="G738" s="28"/>
      <c r="H738" s="28"/>
    </row>
    <row r="739">
      <c r="A739" s="28"/>
      <c r="B739" s="28"/>
      <c r="C739" s="28"/>
      <c r="D739" s="28"/>
      <c r="E739" s="28"/>
      <c r="F739" s="28"/>
      <c r="G739" s="28"/>
      <c r="H739" s="28"/>
    </row>
    <row r="740">
      <c r="A740" s="28"/>
      <c r="B740" s="28"/>
      <c r="C740" s="28"/>
      <c r="D740" s="28"/>
      <c r="E740" s="28"/>
      <c r="F740" s="28"/>
      <c r="G740" s="28"/>
      <c r="H740" s="28"/>
    </row>
    <row r="741">
      <c r="A741" s="28"/>
      <c r="B741" s="28"/>
      <c r="C741" s="28"/>
      <c r="D741" s="28"/>
      <c r="E741" s="28"/>
      <c r="F741" s="28"/>
      <c r="G741" s="28"/>
      <c r="H741" s="28"/>
    </row>
    <row r="742">
      <c r="A742" s="28"/>
      <c r="B742" s="28"/>
      <c r="C742" s="28"/>
      <c r="D742" s="28"/>
      <c r="E742" s="28"/>
      <c r="F742" s="28"/>
      <c r="G742" s="28"/>
      <c r="H742" s="28"/>
    </row>
    <row r="743">
      <c r="A743" s="28"/>
      <c r="B743" s="28"/>
      <c r="C743" s="28"/>
      <c r="D743" s="28"/>
      <c r="E743" s="28"/>
      <c r="F743" s="28"/>
      <c r="G743" s="28"/>
      <c r="H743" s="28"/>
    </row>
    <row r="744">
      <c r="A744" s="28"/>
      <c r="B744" s="28"/>
      <c r="C744" s="28"/>
      <c r="D744" s="28"/>
      <c r="E744" s="28"/>
      <c r="F744" s="28"/>
      <c r="G744" s="28"/>
      <c r="H744" s="28"/>
    </row>
    <row r="745">
      <c r="A745" s="28"/>
      <c r="B745" s="28"/>
      <c r="C745" s="28"/>
      <c r="D745" s="28"/>
      <c r="E745" s="28"/>
      <c r="F745" s="28"/>
      <c r="G745" s="28"/>
      <c r="H745" s="28"/>
    </row>
    <row r="746">
      <c r="A746" s="28"/>
      <c r="B746" s="28"/>
      <c r="C746" s="28"/>
      <c r="D746" s="28"/>
      <c r="E746" s="28"/>
      <c r="F746" s="28"/>
      <c r="G746" s="28"/>
      <c r="H746" s="28"/>
    </row>
    <row r="747">
      <c r="A747" s="28"/>
      <c r="B747" s="28"/>
      <c r="C747" s="28"/>
      <c r="D747" s="28"/>
      <c r="E747" s="28"/>
      <c r="F747" s="28"/>
      <c r="G747" s="28"/>
      <c r="H747" s="28"/>
    </row>
    <row r="748">
      <c r="A748" s="28"/>
      <c r="B748" s="28"/>
      <c r="C748" s="28"/>
      <c r="D748" s="28"/>
      <c r="E748" s="28"/>
      <c r="F748" s="28"/>
      <c r="G748" s="28"/>
      <c r="H748" s="28"/>
    </row>
    <row r="749">
      <c r="A749" s="28"/>
      <c r="B749" s="28"/>
      <c r="C749" s="28"/>
      <c r="D749" s="28"/>
      <c r="E749" s="28"/>
      <c r="F749" s="28"/>
      <c r="G749" s="28"/>
      <c r="H749" s="28"/>
    </row>
    <row r="750">
      <c r="A750" s="28"/>
      <c r="B750" s="28"/>
      <c r="C750" s="28"/>
      <c r="D750" s="28"/>
      <c r="E750" s="28"/>
      <c r="F750" s="28"/>
      <c r="G750" s="28"/>
      <c r="H750" s="28"/>
    </row>
    <row r="751">
      <c r="A751" s="28"/>
      <c r="B751" s="28"/>
      <c r="C751" s="28"/>
      <c r="D751" s="28"/>
      <c r="E751" s="28"/>
      <c r="F751" s="28"/>
      <c r="G751" s="28"/>
      <c r="H751" s="28"/>
    </row>
    <row r="752">
      <c r="A752" s="28"/>
      <c r="B752" s="28"/>
      <c r="C752" s="28"/>
      <c r="D752" s="28"/>
      <c r="E752" s="28"/>
      <c r="F752" s="28"/>
      <c r="G752" s="28"/>
      <c r="H752" s="28"/>
    </row>
    <row r="753">
      <c r="A753" s="28"/>
      <c r="B753" s="28"/>
      <c r="C753" s="28"/>
      <c r="D753" s="28"/>
      <c r="E753" s="28"/>
      <c r="F753" s="28"/>
      <c r="G753" s="28"/>
      <c r="H753" s="28"/>
    </row>
    <row r="754">
      <c r="A754" s="28"/>
      <c r="B754" s="28"/>
      <c r="C754" s="28"/>
      <c r="D754" s="28"/>
      <c r="E754" s="28"/>
      <c r="F754" s="28"/>
      <c r="G754" s="28"/>
      <c r="H754" s="28"/>
    </row>
    <row r="755">
      <c r="A755" s="28"/>
      <c r="B755" s="28"/>
      <c r="C755" s="28"/>
      <c r="D755" s="28"/>
      <c r="E755" s="28"/>
      <c r="F755" s="28"/>
      <c r="G755" s="28"/>
      <c r="H755" s="28"/>
    </row>
    <row r="756">
      <c r="A756" s="28"/>
      <c r="B756" s="28"/>
      <c r="C756" s="28"/>
      <c r="D756" s="28"/>
      <c r="E756" s="28"/>
      <c r="F756" s="28"/>
      <c r="G756" s="28"/>
      <c r="H756" s="28"/>
    </row>
    <row r="757">
      <c r="A757" s="28"/>
      <c r="B757" s="28"/>
      <c r="C757" s="28"/>
      <c r="D757" s="28"/>
      <c r="E757" s="28"/>
      <c r="F757" s="28"/>
      <c r="G757" s="28"/>
      <c r="H757" s="28"/>
    </row>
    <row r="758">
      <c r="A758" s="28"/>
      <c r="B758" s="28"/>
      <c r="C758" s="28"/>
      <c r="D758" s="28"/>
      <c r="E758" s="28"/>
      <c r="F758" s="28"/>
      <c r="G758" s="28"/>
      <c r="H758" s="28"/>
    </row>
    <row r="759">
      <c r="A759" s="28"/>
      <c r="B759" s="28"/>
      <c r="C759" s="28"/>
      <c r="D759" s="28"/>
      <c r="E759" s="28"/>
      <c r="F759" s="28"/>
      <c r="G759" s="28"/>
      <c r="H759" s="28"/>
    </row>
    <row r="760">
      <c r="A760" s="28"/>
      <c r="B760" s="28"/>
      <c r="C760" s="28"/>
      <c r="D760" s="28"/>
      <c r="E760" s="28"/>
      <c r="F760" s="28"/>
      <c r="G760" s="28"/>
      <c r="H760" s="28"/>
    </row>
    <row r="761">
      <c r="A761" s="28"/>
      <c r="B761" s="28"/>
      <c r="C761" s="28"/>
      <c r="D761" s="28"/>
      <c r="E761" s="28"/>
      <c r="F761" s="28"/>
      <c r="G761" s="28"/>
      <c r="H761" s="28"/>
    </row>
    <row r="762">
      <c r="A762" s="28"/>
      <c r="B762" s="28"/>
      <c r="C762" s="28"/>
      <c r="D762" s="28"/>
      <c r="E762" s="28"/>
      <c r="F762" s="28"/>
      <c r="G762" s="28"/>
      <c r="H762" s="28"/>
    </row>
    <row r="763">
      <c r="A763" s="28"/>
      <c r="B763" s="28"/>
      <c r="C763" s="28"/>
      <c r="D763" s="28"/>
      <c r="E763" s="28"/>
      <c r="F763" s="28"/>
      <c r="G763" s="28"/>
      <c r="H763" s="28"/>
    </row>
    <row r="764">
      <c r="A764" s="28"/>
      <c r="B764" s="28"/>
      <c r="C764" s="28"/>
      <c r="D764" s="28"/>
      <c r="E764" s="28"/>
      <c r="F764" s="28"/>
      <c r="G764" s="28"/>
      <c r="H764" s="28"/>
    </row>
    <row r="765">
      <c r="A765" s="28"/>
      <c r="B765" s="28"/>
      <c r="C765" s="28"/>
      <c r="D765" s="28"/>
      <c r="E765" s="28"/>
      <c r="F765" s="28"/>
      <c r="G765" s="28"/>
      <c r="H765" s="28"/>
    </row>
    <row r="766">
      <c r="A766" s="28"/>
      <c r="B766" s="28"/>
      <c r="C766" s="28"/>
      <c r="D766" s="28"/>
      <c r="E766" s="28"/>
      <c r="F766" s="28"/>
      <c r="G766" s="28"/>
      <c r="H766" s="28"/>
    </row>
    <row r="767">
      <c r="A767" s="28"/>
      <c r="B767" s="28"/>
      <c r="C767" s="28"/>
      <c r="D767" s="28"/>
      <c r="E767" s="28"/>
      <c r="F767" s="28"/>
      <c r="G767" s="28"/>
      <c r="H767" s="28"/>
    </row>
    <row r="768">
      <c r="A768" s="28"/>
      <c r="B768" s="28"/>
      <c r="C768" s="28"/>
      <c r="D768" s="28"/>
      <c r="E768" s="28"/>
      <c r="F768" s="28"/>
      <c r="G768" s="28"/>
      <c r="H768" s="28"/>
    </row>
    <row r="769">
      <c r="A769" s="28"/>
      <c r="B769" s="28"/>
      <c r="C769" s="28"/>
      <c r="D769" s="28"/>
      <c r="E769" s="28"/>
      <c r="F769" s="28"/>
      <c r="G769" s="28"/>
      <c r="H769" s="28"/>
    </row>
    <row r="770">
      <c r="A770" s="28"/>
      <c r="B770" s="28"/>
      <c r="C770" s="28"/>
      <c r="D770" s="28"/>
      <c r="E770" s="28"/>
      <c r="F770" s="28"/>
      <c r="G770" s="28"/>
      <c r="H770" s="28"/>
    </row>
    <row r="771">
      <c r="A771" s="28"/>
      <c r="B771" s="28"/>
      <c r="C771" s="28"/>
      <c r="D771" s="28"/>
      <c r="E771" s="28"/>
      <c r="F771" s="28"/>
      <c r="G771" s="28"/>
      <c r="H771" s="28"/>
    </row>
    <row r="772">
      <c r="A772" s="28"/>
      <c r="B772" s="28"/>
      <c r="C772" s="28"/>
      <c r="D772" s="28"/>
      <c r="E772" s="28"/>
      <c r="F772" s="28"/>
      <c r="G772" s="28"/>
      <c r="H772" s="28"/>
    </row>
    <row r="773">
      <c r="A773" s="28"/>
      <c r="B773" s="28"/>
      <c r="C773" s="28"/>
      <c r="D773" s="28"/>
      <c r="E773" s="28"/>
      <c r="F773" s="28"/>
      <c r="G773" s="28"/>
      <c r="H773" s="28"/>
    </row>
    <row r="774">
      <c r="A774" s="28"/>
      <c r="B774" s="28"/>
      <c r="C774" s="28"/>
      <c r="D774" s="28"/>
      <c r="E774" s="28"/>
      <c r="F774" s="28"/>
      <c r="G774" s="28"/>
      <c r="H774" s="28"/>
    </row>
    <row r="775">
      <c r="A775" s="28"/>
      <c r="B775" s="28"/>
      <c r="C775" s="28"/>
      <c r="D775" s="28"/>
      <c r="E775" s="28"/>
      <c r="F775" s="28"/>
      <c r="G775" s="28"/>
      <c r="H775" s="28"/>
    </row>
    <row r="776">
      <c r="A776" s="28"/>
      <c r="B776" s="28"/>
      <c r="C776" s="28"/>
      <c r="D776" s="28"/>
      <c r="E776" s="28"/>
      <c r="F776" s="28"/>
      <c r="G776" s="28"/>
      <c r="H776" s="28"/>
    </row>
    <row r="777">
      <c r="A777" s="28"/>
      <c r="B777" s="28"/>
      <c r="C777" s="28"/>
      <c r="D777" s="28"/>
      <c r="E777" s="28"/>
      <c r="F777" s="28"/>
      <c r="G777" s="28"/>
      <c r="H777" s="28"/>
    </row>
    <row r="778">
      <c r="A778" s="28"/>
      <c r="B778" s="28"/>
      <c r="C778" s="28"/>
      <c r="D778" s="28"/>
      <c r="E778" s="28"/>
      <c r="F778" s="28"/>
      <c r="G778" s="28"/>
      <c r="H778" s="28"/>
    </row>
    <row r="779">
      <c r="A779" s="28"/>
      <c r="B779" s="28"/>
      <c r="C779" s="28"/>
      <c r="D779" s="28"/>
      <c r="E779" s="28"/>
      <c r="F779" s="28"/>
      <c r="G779" s="28"/>
      <c r="H779" s="28"/>
    </row>
    <row r="780">
      <c r="A780" s="28"/>
      <c r="B780" s="28"/>
      <c r="C780" s="28"/>
      <c r="D780" s="28"/>
      <c r="E780" s="28"/>
      <c r="F780" s="28"/>
      <c r="G780" s="28"/>
      <c r="H780" s="28"/>
    </row>
    <row r="781">
      <c r="A781" s="28"/>
      <c r="B781" s="28"/>
      <c r="C781" s="28"/>
      <c r="D781" s="28"/>
      <c r="E781" s="28"/>
      <c r="F781" s="28"/>
      <c r="G781" s="28"/>
      <c r="H781" s="28"/>
    </row>
    <row r="782">
      <c r="A782" s="28"/>
      <c r="B782" s="28"/>
      <c r="C782" s="28"/>
      <c r="D782" s="28"/>
      <c r="E782" s="28"/>
      <c r="F782" s="28"/>
      <c r="G782" s="28"/>
      <c r="H782" s="28"/>
    </row>
    <row r="783">
      <c r="A783" s="28"/>
      <c r="B783" s="28"/>
      <c r="C783" s="28"/>
      <c r="D783" s="28"/>
      <c r="E783" s="28"/>
      <c r="F783" s="28"/>
      <c r="G783" s="28"/>
      <c r="H783" s="28"/>
    </row>
    <row r="784">
      <c r="A784" s="28"/>
      <c r="B784" s="28"/>
      <c r="C784" s="28"/>
      <c r="D784" s="28"/>
      <c r="E784" s="28"/>
      <c r="F784" s="28"/>
      <c r="G784" s="28"/>
      <c r="H784" s="28"/>
    </row>
    <row r="785">
      <c r="A785" s="28"/>
      <c r="B785" s="28"/>
      <c r="C785" s="28"/>
      <c r="D785" s="28"/>
      <c r="E785" s="28"/>
      <c r="F785" s="28"/>
      <c r="G785" s="28"/>
      <c r="H785" s="28"/>
    </row>
    <row r="786">
      <c r="A786" s="28"/>
      <c r="B786" s="28"/>
      <c r="C786" s="28"/>
      <c r="D786" s="28"/>
      <c r="E786" s="28"/>
      <c r="F786" s="28"/>
      <c r="G786" s="28"/>
      <c r="H786" s="28"/>
    </row>
    <row r="787">
      <c r="A787" s="28"/>
      <c r="B787" s="28"/>
      <c r="C787" s="28"/>
      <c r="D787" s="28"/>
      <c r="E787" s="28"/>
      <c r="F787" s="28"/>
      <c r="G787" s="28"/>
      <c r="H787" s="28"/>
    </row>
    <row r="788">
      <c r="A788" s="28"/>
      <c r="B788" s="28"/>
      <c r="C788" s="28"/>
      <c r="D788" s="28"/>
      <c r="E788" s="28"/>
      <c r="F788" s="28"/>
      <c r="G788" s="28"/>
      <c r="H788" s="28"/>
    </row>
    <row r="789">
      <c r="A789" s="28"/>
      <c r="B789" s="28"/>
      <c r="C789" s="28"/>
      <c r="D789" s="28"/>
      <c r="E789" s="28"/>
      <c r="F789" s="28"/>
      <c r="G789" s="28"/>
      <c r="H789" s="28"/>
    </row>
    <row r="790">
      <c r="A790" s="28"/>
      <c r="B790" s="28"/>
      <c r="C790" s="28"/>
      <c r="D790" s="28"/>
      <c r="E790" s="28"/>
      <c r="F790" s="28"/>
      <c r="G790" s="28"/>
      <c r="H790" s="28"/>
    </row>
    <row r="791">
      <c r="A791" s="28"/>
      <c r="B791" s="28"/>
      <c r="C791" s="28"/>
      <c r="D791" s="28"/>
      <c r="E791" s="28"/>
      <c r="F791" s="28"/>
      <c r="G791" s="28"/>
      <c r="H791" s="28"/>
    </row>
    <row r="792">
      <c r="A792" s="28"/>
      <c r="B792" s="28"/>
      <c r="C792" s="28"/>
      <c r="D792" s="28"/>
      <c r="E792" s="28"/>
      <c r="F792" s="28"/>
      <c r="G792" s="28"/>
      <c r="H792" s="28"/>
    </row>
    <row r="793">
      <c r="A793" s="28"/>
      <c r="B793" s="28"/>
      <c r="C793" s="28"/>
      <c r="D793" s="28"/>
      <c r="E793" s="28"/>
      <c r="F793" s="28"/>
      <c r="G793" s="28"/>
      <c r="H793" s="28"/>
    </row>
    <row r="794">
      <c r="A794" s="28"/>
      <c r="B794" s="28"/>
      <c r="C794" s="28"/>
      <c r="D794" s="28"/>
      <c r="E794" s="28"/>
      <c r="F794" s="28"/>
      <c r="G794" s="28"/>
      <c r="H794" s="28"/>
    </row>
    <row r="795">
      <c r="A795" s="28"/>
      <c r="B795" s="28"/>
      <c r="C795" s="28"/>
      <c r="D795" s="28"/>
      <c r="E795" s="28"/>
      <c r="F795" s="28"/>
      <c r="G795" s="28"/>
      <c r="H795" s="28"/>
    </row>
    <row r="796">
      <c r="A796" s="28"/>
      <c r="B796" s="28"/>
      <c r="C796" s="28"/>
      <c r="D796" s="28"/>
      <c r="E796" s="28"/>
      <c r="F796" s="28"/>
      <c r="G796" s="28"/>
      <c r="H796" s="28"/>
    </row>
    <row r="797">
      <c r="A797" s="28"/>
      <c r="B797" s="28"/>
      <c r="C797" s="28"/>
      <c r="D797" s="28"/>
      <c r="E797" s="28"/>
      <c r="F797" s="28"/>
      <c r="G797" s="28"/>
      <c r="H797" s="28"/>
    </row>
    <row r="798">
      <c r="A798" s="28"/>
      <c r="B798" s="28"/>
      <c r="C798" s="28"/>
      <c r="D798" s="28"/>
      <c r="E798" s="28"/>
      <c r="F798" s="28"/>
      <c r="G798" s="28"/>
      <c r="H798" s="28"/>
    </row>
    <row r="799">
      <c r="A799" s="28"/>
      <c r="B799" s="28"/>
      <c r="C799" s="28"/>
      <c r="D799" s="28"/>
      <c r="E799" s="28"/>
      <c r="F799" s="28"/>
      <c r="G799" s="28"/>
      <c r="H799" s="28"/>
    </row>
    <row r="800">
      <c r="A800" s="28"/>
      <c r="B800" s="28"/>
      <c r="C800" s="28"/>
      <c r="D800" s="28"/>
      <c r="E800" s="28"/>
      <c r="F800" s="28"/>
      <c r="G800" s="28"/>
      <c r="H800" s="28"/>
    </row>
    <row r="801">
      <c r="A801" s="28"/>
      <c r="B801" s="28"/>
      <c r="C801" s="28"/>
      <c r="D801" s="28"/>
      <c r="E801" s="28"/>
      <c r="F801" s="28"/>
      <c r="G801" s="28"/>
      <c r="H801" s="28"/>
    </row>
    <row r="802">
      <c r="A802" s="28"/>
      <c r="B802" s="28"/>
      <c r="C802" s="28"/>
      <c r="D802" s="28"/>
      <c r="E802" s="28"/>
      <c r="F802" s="28"/>
      <c r="G802" s="28"/>
      <c r="H802" s="28"/>
    </row>
    <row r="803">
      <c r="A803" s="28"/>
      <c r="B803" s="28"/>
      <c r="C803" s="28"/>
      <c r="D803" s="28"/>
      <c r="E803" s="28"/>
      <c r="F803" s="28"/>
      <c r="G803" s="28"/>
      <c r="H803" s="28"/>
    </row>
    <row r="804">
      <c r="A804" s="28"/>
      <c r="B804" s="28"/>
      <c r="C804" s="28"/>
      <c r="D804" s="28"/>
      <c r="E804" s="28"/>
      <c r="F804" s="28"/>
      <c r="G804" s="28"/>
      <c r="H804" s="28"/>
    </row>
    <row r="805">
      <c r="A805" s="28"/>
      <c r="B805" s="28"/>
      <c r="C805" s="28"/>
      <c r="D805" s="28"/>
      <c r="E805" s="28"/>
      <c r="F805" s="28"/>
      <c r="G805" s="28"/>
      <c r="H805" s="28"/>
    </row>
    <row r="806">
      <c r="A806" s="28"/>
      <c r="B806" s="28"/>
      <c r="C806" s="28"/>
      <c r="D806" s="28"/>
      <c r="E806" s="28"/>
      <c r="F806" s="28"/>
      <c r="G806" s="28"/>
      <c r="H806" s="28"/>
    </row>
    <row r="807">
      <c r="A807" s="28"/>
      <c r="B807" s="28"/>
      <c r="C807" s="28"/>
      <c r="D807" s="28"/>
      <c r="E807" s="28"/>
      <c r="F807" s="28"/>
      <c r="G807" s="28"/>
      <c r="H807" s="28"/>
    </row>
    <row r="808">
      <c r="A808" s="28"/>
      <c r="B808" s="28"/>
      <c r="C808" s="28"/>
      <c r="D808" s="28"/>
      <c r="E808" s="28"/>
      <c r="F808" s="28"/>
      <c r="G808" s="28"/>
      <c r="H808" s="28"/>
    </row>
    <row r="809">
      <c r="A809" s="28"/>
      <c r="B809" s="28"/>
      <c r="C809" s="28"/>
      <c r="D809" s="28"/>
      <c r="E809" s="28"/>
      <c r="F809" s="28"/>
      <c r="G809" s="28"/>
      <c r="H809" s="28"/>
    </row>
    <row r="810">
      <c r="A810" s="28"/>
      <c r="B810" s="28"/>
      <c r="C810" s="28"/>
      <c r="D810" s="28"/>
      <c r="E810" s="28"/>
      <c r="F810" s="28"/>
      <c r="G810" s="28"/>
      <c r="H810" s="28"/>
    </row>
    <row r="811">
      <c r="A811" s="28"/>
      <c r="B811" s="28"/>
      <c r="C811" s="28"/>
      <c r="D811" s="28"/>
      <c r="E811" s="28"/>
      <c r="F811" s="28"/>
      <c r="G811" s="28"/>
      <c r="H811" s="28"/>
    </row>
    <row r="812">
      <c r="A812" s="28"/>
      <c r="B812" s="28"/>
      <c r="C812" s="28"/>
      <c r="D812" s="28"/>
      <c r="E812" s="28"/>
      <c r="F812" s="28"/>
      <c r="G812" s="28"/>
      <c r="H812" s="28"/>
    </row>
    <row r="813">
      <c r="A813" s="28"/>
      <c r="B813" s="28"/>
      <c r="C813" s="28"/>
      <c r="D813" s="28"/>
      <c r="E813" s="28"/>
      <c r="F813" s="28"/>
      <c r="G813" s="28"/>
      <c r="H813" s="28"/>
    </row>
    <row r="814">
      <c r="A814" s="28"/>
      <c r="B814" s="28"/>
      <c r="C814" s="28"/>
      <c r="D814" s="28"/>
      <c r="E814" s="28"/>
      <c r="F814" s="28"/>
      <c r="G814" s="28"/>
      <c r="H814" s="28"/>
    </row>
    <row r="815">
      <c r="A815" s="28"/>
      <c r="B815" s="28"/>
      <c r="C815" s="28"/>
      <c r="D815" s="28"/>
      <c r="E815" s="28"/>
      <c r="F815" s="28"/>
      <c r="G815" s="28"/>
      <c r="H815" s="28"/>
    </row>
    <row r="816">
      <c r="A816" s="28"/>
      <c r="B816" s="28"/>
      <c r="C816" s="28"/>
      <c r="D816" s="28"/>
      <c r="E816" s="28"/>
      <c r="F816" s="28"/>
      <c r="G816" s="28"/>
      <c r="H816" s="28"/>
    </row>
    <row r="817">
      <c r="A817" s="28"/>
      <c r="B817" s="28"/>
      <c r="C817" s="28"/>
      <c r="D817" s="28"/>
      <c r="E817" s="28"/>
      <c r="F817" s="28"/>
      <c r="G817" s="28"/>
      <c r="H817" s="28"/>
    </row>
    <row r="818">
      <c r="A818" s="28"/>
      <c r="B818" s="28"/>
      <c r="C818" s="28"/>
      <c r="D818" s="28"/>
      <c r="E818" s="28"/>
      <c r="F818" s="28"/>
      <c r="G818" s="28"/>
      <c r="H818" s="28"/>
    </row>
    <row r="819">
      <c r="A819" s="28"/>
      <c r="B819" s="28"/>
      <c r="C819" s="28"/>
      <c r="D819" s="28"/>
      <c r="E819" s="28"/>
      <c r="F819" s="28"/>
      <c r="G819" s="28"/>
      <c r="H819" s="28"/>
    </row>
    <row r="820">
      <c r="A820" s="28"/>
      <c r="B820" s="28"/>
      <c r="C820" s="28"/>
      <c r="D820" s="28"/>
      <c r="E820" s="28"/>
      <c r="F820" s="28"/>
      <c r="G820" s="28"/>
      <c r="H820" s="28"/>
    </row>
    <row r="821">
      <c r="A821" s="28"/>
      <c r="B821" s="28"/>
      <c r="C821" s="28"/>
      <c r="D821" s="28"/>
      <c r="E821" s="28"/>
      <c r="F821" s="28"/>
      <c r="G821" s="28"/>
      <c r="H821" s="28"/>
    </row>
    <row r="822">
      <c r="A822" s="28"/>
      <c r="B822" s="28"/>
      <c r="C822" s="28"/>
      <c r="D822" s="28"/>
      <c r="E822" s="28"/>
      <c r="F822" s="28"/>
      <c r="G822" s="28"/>
      <c r="H822" s="28"/>
    </row>
    <row r="823">
      <c r="A823" s="28"/>
      <c r="B823" s="28"/>
      <c r="C823" s="28"/>
      <c r="D823" s="28"/>
      <c r="E823" s="28"/>
      <c r="F823" s="28"/>
      <c r="G823" s="28"/>
      <c r="H823" s="28"/>
    </row>
    <row r="824">
      <c r="A824" s="28"/>
      <c r="B824" s="28"/>
      <c r="C824" s="28"/>
      <c r="D824" s="28"/>
      <c r="E824" s="28"/>
      <c r="F824" s="28"/>
      <c r="G824" s="28"/>
      <c r="H824" s="28"/>
    </row>
    <row r="825">
      <c r="A825" s="28"/>
      <c r="B825" s="28"/>
      <c r="C825" s="28"/>
      <c r="D825" s="28"/>
      <c r="E825" s="28"/>
      <c r="F825" s="28"/>
      <c r="G825" s="28"/>
      <c r="H825" s="28"/>
    </row>
    <row r="826">
      <c r="A826" s="28"/>
      <c r="B826" s="28"/>
      <c r="C826" s="28"/>
      <c r="D826" s="28"/>
      <c r="E826" s="28"/>
      <c r="F826" s="28"/>
      <c r="G826" s="28"/>
      <c r="H826" s="28"/>
    </row>
    <row r="827">
      <c r="A827" s="28"/>
      <c r="B827" s="28"/>
      <c r="C827" s="28"/>
      <c r="D827" s="28"/>
      <c r="E827" s="28"/>
      <c r="F827" s="28"/>
      <c r="G827" s="28"/>
      <c r="H827" s="28"/>
    </row>
    <row r="828">
      <c r="A828" s="28"/>
      <c r="B828" s="28"/>
      <c r="C828" s="28"/>
      <c r="D828" s="28"/>
      <c r="E828" s="28"/>
      <c r="F828" s="28"/>
      <c r="G828" s="28"/>
      <c r="H828" s="28"/>
    </row>
    <row r="829">
      <c r="A829" s="28"/>
      <c r="B829" s="28"/>
      <c r="C829" s="28"/>
      <c r="D829" s="28"/>
      <c r="E829" s="28"/>
      <c r="F829" s="28"/>
      <c r="G829" s="28"/>
      <c r="H829" s="28"/>
    </row>
    <row r="830">
      <c r="A830" s="28"/>
      <c r="B830" s="28"/>
      <c r="C830" s="28"/>
      <c r="D830" s="28"/>
      <c r="E830" s="28"/>
      <c r="F830" s="28"/>
      <c r="G830" s="28"/>
      <c r="H830" s="28"/>
    </row>
    <row r="831">
      <c r="A831" s="28"/>
      <c r="B831" s="28"/>
      <c r="C831" s="28"/>
      <c r="D831" s="28"/>
      <c r="E831" s="28"/>
      <c r="F831" s="28"/>
      <c r="G831" s="28"/>
      <c r="H831" s="28"/>
    </row>
    <row r="832">
      <c r="A832" s="28"/>
      <c r="B832" s="28"/>
      <c r="C832" s="28"/>
      <c r="D832" s="28"/>
      <c r="E832" s="28"/>
      <c r="F832" s="28"/>
      <c r="G832" s="28"/>
      <c r="H832" s="28"/>
    </row>
    <row r="833">
      <c r="A833" s="28"/>
      <c r="B833" s="28"/>
      <c r="C833" s="28"/>
      <c r="D833" s="28"/>
      <c r="E833" s="28"/>
      <c r="F833" s="28"/>
      <c r="G833" s="28"/>
      <c r="H833" s="28"/>
    </row>
    <row r="834">
      <c r="A834" s="28"/>
      <c r="B834" s="28"/>
      <c r="C834" s="28"/>
      <c r="D834" s="28"/>
      <c r="E834" s="28"/>
      <c r="F834" s="28"/>
      <c r="G834" s="28"/>
      <c r="H834" s="28"/>
    </row>
    <row r="835">
      <c r="A835" s="28"/>
      <c r="B835" s="28"/>
      <c r="C835" s="28"/>
      <c r="D835" s="28"/>
      <c r="E835" s="28"/>
      <c r="F835" s="28"/>
      <c r="G835" s="28"/>
      <c r="H835" s="28"/>
    </row>
    <row r="836">
      <c r="A836" s="28"/>
      <c r="B836" s="28"/>
      <c r="C836" s="28"/>
      <c r="D836" s="28"/>
      <c r="E836" s="28"/>
      <c r="F836" s="28"/>
      <c r="G836" s="28"/>
      <c r="H836" s="28"/>
    </row>
    <row r="837">
      <c r="A837" s="28"/>
      <c r="B837" s="28"/>
      <c r="C837" s="28"/>
      <c r="D837" s="28"/>
      <c r="E837" s="28"/>
      <c r="F837" s="28"/>
      <c r="G837" s="28"/>
      <c r="H837" s="28"/>
    </row>
    <row r="838">
      <c r="A838" s="28"/>
      <c r="B838" s="28"/>
      <c r="C838" s="28"/>
      <c r="D838" s="28"/>
      <c r="E838" s="28"/>
      <c r="F838" s="28"/>
      <c r="G838" s="28"/>
      <c r="H838" s="28"/>
    </row>
    <row r="839">
      <c r="A839" s="28"/>
      <c r="B839" s="28"/>
      <c r="C839" s="28"/>
      <c r="D839" s="28"/>
      <c r="E839" s="28"/>
      <c r="F839" s="28"/>
      <c r="G839" s="28"/>
      <c r="H839" s="28"/>
    </row>
    <row r="840">
      <c r="A840" s="28"/>
      <c r="B840" s="28"/>
      <c r="C840" s="28"/>
      <c r="D840" s="28"/>
      <c r="E840" s="28"/>
      <c r="F840" s="28"/>
      <c r="G840" s="28"/>
      <c r="H840" s="28"/>
    </row>
    <row r="841">
      <c r="A841" s="28"/>
      <c r="B841" s="28"/>
      <c r="C841" s="28"/>
      <c r="D841" s="28"/>
      <c r="E841" s="28"/>
      <c r="F841" s="28"/>
      <c r="G841" s="28"/>
      <c r="H841" s="28"/>
    </row>
    <row r="842">
      <c r="A842" s="28"/>
      <c r="B842" s="28"/>
      <c r="C842" s="28"/>
      <c r="D842" s="28"/>
      <c r="E842" s="28"/>
      <c r="F842" s="28"/>
      <c r="G842" s="28"/>
      <c r="H842" s="28"/>
    </row>
    <row r="843">
      <c r="A843" s="28"/>
      <c r="B843" s="28"/>
      <c r="C843" s="28"/>
      <c r="D843" s="28"/>
      <c r="E843" s="28"/>
      <c r="F843" s="28"/>
      <c r="G843" s="28"/>
      <c r="H843" s="28"/>
    </row>
    <row r="844">
      <c r="A844" s="28"/>
      <c r="B844" s="28"/>
      <c r="C844" s="28"/>
      <c r="D844" s="28"/>
      <c r="E844" s="28"/>
      <c r="F844" s="28"/>
      <c r="G844" s="28"/>
      <c r="H844" s="28"/>
    </row>
    <row r="845">
      <c r="A845" s="28"/>
      <c r="B845" s="28"/>
      <c r="C845" s="28"/>
      <c r="D845" s="28"/>
      <c r="E845" s="28"/>
      <c r="F845" s="28"/>
      <c r="G845" s="28"/>
      <c r="H845" s="28"/>
    </row>
    <row r="846">
      <c r="A846" s="28"/>
      <c r="B846" s="28"/>
      <c r="C846" s="28"/>
      <c r="D846" s="28"/>
      <c r="E846" s="28"/>
      <c r="F846" s="28"/>
      <c r="G846" s="28"/>
      <c r="H846" s="28"/>
    </row>
    <row r="847">
      <c r="A847" s="28"/>
      <c r="B847" s="28"/>
      <c r="C847" s="28"/>
      <c r="D847" s="28"/>
      <c r="E847" s="28"/>
      <c r="F847" s="28"/>
      <c r="G847" s="28"/>
      <c r="H847" s="28"/>
    </row>
    <row r="848">
      <c r="A848" s="28"/>
      <c r="B848" s="28"/>
      <c r="C848" s="28"/>
      <c r="D848" s="28"/>
      <c r="E848" s="28"/>
      <c r="F848" s="28"/>
      <c r="G848" s="28"/>
      <c r="H848" s="28"/>
    </row>
    <row r="849">
      <c r="A849" s="28"/>
      <c r="B849" s="28"/>
      <c r="C849" s="28"/>
      <c r="D849" s="28"/>
      <c r="E849" s="28"/>
      <c r="F849" s="28"/>
      <c r="G849" s="28"/>
      <c r="H849" s="28"/>
    </row>
    <row r="850">
      <c r="A850" s="28"/>
      <c r="B850" s="28"/>
      <c r="C850" s="28"/>
      <c r="D850" s="28"/>
      <c r="E850" s="28"/>
      <c r="F850" s="28"/>
      <c r="G850" s="28"/>
      <c r="H850" s="28"/>
    </row>
    <row r="851">
      <c r="A851" s="28"/>
      <c r="B851" s="28"/>
      <c r="C851" s="28"/>
      <c r="D851" s="28"/>
      <c r="E851" s="28"/>
      <c r="F851" s="28"/>
      <c r="G851" s="28"/>
      <c r="H851" s="28"/>
    </row>
    <row r="852">
      <c r="A852" s="28"/>
      <c r="B852" s="28"/>
      <c r="C852" s="28"/>
      <c r="D852" s="28"/>
      <c r="E852" s="28"/>
      <c r="F852" s="28"/>
      <c r="G852" s="28"/>
      <c r="H852" s="28"/>
    </row>
    <row r="853">
      <c r="A853" s="28"/>
      <c r="B853" s="28"/>
      <c r="C853" s="28"/>
      <c r="D853" s="28"/>
      <c r="E853" s="28"/>
      <c r="F853" s="28"/>
      <c r="G853" s="28"/>
      <c r="H853" s="28"/>
    </row>
    <row r="854">
      <c r="A854" s="28"/>
      <c r="B854" s="28"/>
      <c r="C854" s="28"/>
      <c r="D854" s="28"/>
      <c r="E854" s="28"/>
      <c r="F854" s="28"/>
      <c r="G854" s="28"/>
      <c r="H854" s="28"/>
    </row>
    <row r="855">
      <c r="A855" s="28"/>
      <c r="B855" s="28"/>
      <c r="C855" s="28"/>
      <c r="D855" s="28"/>
      <c r="E855" s="28"/>
      <c r="F855" s="28"/>
      <c r="G855" s="28"/>
      <c r="H855" s="28"/>
    </row>
    <row r="856">
      <c r="A856" s="28"/>
      <c r="B856" s="28"/>
      <c r="C856" s="28"/>
      <c r="D856" s="28"/>
      <c r="E856" s="28"/>
      <c r="F856" s="28"/>
      <c r="G856" s="28"/>
      <c r="H856" s="28"/>
    </row>
    <row r="857">
      <c r="A857" s="28"/>
      <c r="B857" s="28"/>
      <c r="C857" s="28"/>
      <c r="D857" s="28"/>
      <c r="E857" s="28"/>
      <c r="F857" s="28"/>
      <c r="G857" s="28"/>
      <c r="H857" s="28"/>
    </row>
    <row r="858">
      <c r="A858" s="28"/>
      <c r="B858" s="28"/>
      <c r="C858" s="28"/>
      <c r="D858" s="28"/>
      <c r="E858" s="28"/>
      <c r="F858" s="28"/>
      <c r="G858" s="28"/>
      <c r="H858" s="28"/>
    </row>
    <row r="859">
      <c r="A859" s="28"/>
      <c r="B859" s="28"/>
      <c r="C859" s="28"/>
      <c r="D859" s="28"/>
      <c r="E859" s="28"/>
      <c r="F859" s="28"/>
      <c r="G859" s="28"/>
      <c r="H859" s="28"/>
    </row>
    <row r="860">
      <c r="A860" s="28"/>
      <c r="B860" s="28"/>
      <c r="C860" s="28"/>
      <c r="D860" s="28"/>
      <c r="E860" s="28"/>
      <c r="F860" s="28"/>
      <c r="G860" s="28"/>
      <c r="H860" s="28"/>
    </row>
    <row r="861">
      <c r="A861" s="28"/>
      <c r="B861" s="28"/>
      <c r="C861" s="28"/>
      <c r="D861" s="28"/>
      <c r="E861" s="28"/>
      <c r="F861" s="28"/>
      <c r="G861" s="28"/>
      <c r="H861" s="28"/>
    </row>
    <row r="862">
      <c r="A862" s="28"/>
      <c r="B862" s="28"/>
      <c r="C862" s="28"/>
      <c r="D862" s="28"/>
      <c r="E862" s="28"/>
      <c r="F862" s="28"/>
      <c r="G862" s="28"/>
      <c r="H862" s="28"/>
    </row>
    <row r="863">
      <c r="A863" s="28"/>
      <c r="B863" s="28"/>
      <c r="C863" s="28"/>
      <c r="D863" s="28"/>
      <c r="E863" s="28"/>
      <c r="F863" s="28"/>
      <c r="G863" s="28"/>
      <c r="H863" s="28"/>
    </row>
    <row r="864">
      <c r="A864" s="28"/>
      <c r="B864" s="28"/>
      <c r="C864" s="28"/>
      <c r="D864" s="28"/>
      <c r="E864" s="28"/>
      <c r="F864" s="28"/>
      <c r="G864" s="28"/>
      <c r="H864" s="28"/>
    </row>
    <row r="865">
      <c r="A865" s="28"/>
      <c r="B865" s="28"/>
      <c r="C865" s="28"/>
      <c r="D865" s="28"/>
      <c r="E865" s="28"/>
      <c r="F865" s="28"/>
      <c r="G865" s="28"/>
      <c r="H865" s="28"/>
    </row>
    <row r="866">
      <c r="A866" s="28"/>
      <c r="B866" s="28"/>
      <c r="C866" s="28"/>
      <c r="D866" s="28"/>
      <c r="E866" s="28"/>
      <c r="F866" s="28"/>
      <c r="G866" s="28"/>
      <c r="H866" s="28"/>
    </row>
    <row r="867">
      <c r="A867" s="28"/>
      <c r="B867" s="28"/>
      <c r="C867" s="28"/>
      <c r="D867" s="28"/>
      <c r="E867" s="28"/>
      <c r="F867" s="28"/>
      <c r="G867" s="28"/>
      <c r="H867" s="28"/>
    </row>
    <row r="868">
      <c r="A868" s="28"/>
      <c r="B868" s="28"/>
      <c r="C868" s="28"/>
      <c r="D868" s="28"/>
      <c r="E868" s="28"/>
      <c r="F868" s="28"/>
      <c r="G868" s="28"/>
      <c r="H868" s="28"/>
    </row>
    <row r="869">
      <c r="A869" s="28"/>
      <c r="B869" s="28"/>
      <c r="C869" s="28"/>
      <c r="D869" s="28"/>
      <c r="E869" s="28"/>
      <c r="F869" s="28"/>
      <c r="G869" s="28"/>
      <c r="H869" s="28"/>
    </row>
    <row r="870">
      <c r="A870" s="28"/>
      <c r="B870" s="28"/>
      <c r="C870" s="28"/>
      <c r="D870" s="28"/>
      <c r="E870" s="28"/>
      <c r="F870" s="28"/>
      <c r="G870" s="28"/>
      <c r="H870" s="28"/>
    </row>
    <row r="871">
      <c r="A871" s="28"/>
      <c r="B871" s="28"/>
      <c r="C871" s="28"/>
      <c r="D871" s="28"/>
      <c r="E871" s="28"/>
      <c r="F871" s="28"/>
      <c r="G871" s="28"/>
      <c r="H871" s="28"/>
    </row>
    <row r="872">
      <c r="A872" s="28"/>
      <c r="B872" s="28"/>
      <c r="C872" s="28"/>
      <c r="D872" s="28"/>
      <c r="E872" s="28"/>
      <c r="F872" s="28"/>
      <c r="G872" s="28"/>
      <c r="H872" s="28"/>
    </row>
    <row r="873">
      <c r="A873" s="28"/>
      <c r="B873" s="28"/>
      <c r="C873" s="28"/>
      <c r="D873" s="28"/>
      <c r="E873" s="28"/>
      <c r="F873" s="28"/>
      <c r="G873" s="28"/>
      <c r="H873" s="28"/>
    </row>
    <row r="874">
      <c r="A874" s="28"/>
      <c r="B874" s="28"/>
      <c r="C874" s="28"/>
      <c r="D874" s="28"/>
      <c r="E874" s="28"/>
      <c r="F874" s="28"/>
      <c r="G874" s="28"/>
      <c r="H874" s="28"/>
    </row>
    <row r="875">
      <c r="A875" s="28"/>
      <c r="B875" s="28"/>
      <c r="C875" s="28"/>
      <c r="D875" s="28"/>
      <c r="E875" s="28"/>
      <c r="F875" s="28"/>
      <c r="G875" s="28"/>
      <c r="H875" s="28"/>
    </row>
    <row r="876">
      <c r="A876" s="28"/>
      <c r="B876" s="28"/>
      <c r="C876" s="28"/>
      <c r="D876" s="28"/>
      <c r="E876" s="28"/>
      <c r="F876" s="28"/>
      <c r="G876" s="28"/>
      <c r="H876" s="28"/>
    </row>
    <row r="877">
      <c r="A877" s="28"/>
      <c r="B877" s="28"/>
      <c r="C877" s="28"/>
      <c r="D877" s="28"/>
      <c r="E877" s="28"/>
      <c r="F877" s="28"/>
      <c r="G877" s="28"/>
      <c r="H877" s="28"/>
    </row>
    <row r="878">
      <c r="A878" s="28"/>
      <c r="B878" s="28"/>
      <c r="C878" s="28"/>
      <c r="D878" s="28"/>
      <c r="E878" s="28"/>
      <c r="F878" s="28"/>
      <c r="G878" s="28"/>
      <c r="H878" s="28"/>
    </row>
    <row r="879">
      <c r="A879" s="28"/>
      <c r="B879" s="28"/>
      <c r="C879" s="28"/>
      <c r="D879" s="28"/>
      <c r="E879" s="28"/>
      <c r="F879" s="28"/>
      <c r="G879" s="28"/>
      <c r="H879" s="28"/>
    </row>
    <row r="880">
      <c r="A880" s="28"/>
      <c r="B880" s="28"/>
      <c r="C880" s="28"/>
      <c r="D880" s="28"/>
      <c r="E880" s="28"/>
      <c r="F880" s="28"/>
      <c r="G880" s="28"/>
      <c r="H880" s="28"/>
    </row>
    <row r="881">
      <c r="A881" s="28"/>
      <c r="B881" s="28"/>
      <c r="C881" s="28"/>
      <c r="D881" s="28"/>
      <c r="E881" s="28"/>
      <c r="F881" s="28"/>
      <c r="G881" s="28"/>
      <c r="H881" s="28"/>
    </row>
    <row r="882">
      <c r="A882" s="28"/>
      <c r="B882" s="28"/>
      <c r="C882" s="28"/>
      <c r="D882" s="28"/>
      <c r="E882" s="28"/>
      <c r="F882" s="28"/>
      <c r="G882" s="28"/>
      <c r="H882" s="28"/>
    </row>
    <row r="883">
      <c r="A883" s="28"/>
      <c r="B883" s="28"/>
      <c r="C883" s="28"/>
      <c r="D883" s="28"/>
      <c r="E883" s="28"/>
      <c r="F883" s="28"/>
      <c r="G883" s="28"/>
      <c r="H883" s="28"/>
    </row>
    <row r="884">
      <c r="A884" s="28"/>
      <c r="B884" s="28"/>
      <c r="C884" s="28"/>
      <c r="D884" s="28"/>
      <c r="E884" s="28"/>
      <c r="F884" s="28"/>
      <c r="G884" s="28"/>
      <c r="H884" s="28"/>
    </row>
    <row r="885">
      <c r="A885" s="28"/>
      <c r="B885" s="28"/>
      <c r="C885" s="28"/>
      <c r="D885" s="28"/>
      <c r="E885" s="28"/>
      <c r="F885" s="28"/>
      <c r="G885" s="28"/>
      <c r="H885" s="28"/>
    </row>
    <row r="886">
      <c r="A886" s="28"/>
      <c r="B886" s="28"/>
      <c r="C886" s="28"/>
      <c r="D886" s="28"/>
      <c r="E886" s="28"/>
      <c r="F886" s="28"/>
      <c r="G886" s="28"/>
      <c r="H886" s="28"/>
    </row>
    <row r="887">
      <c r="A887" s="28"/>
      <c r="B887" s="28"/>
      <c r="C887" s="28"/>
      <c r="D887" s="28"/>
      <c r="E887" s="28"/>
      <c r="F887" s="28"/>
      <c r="G887" s="28"/>
      <c r="H887" s="28"/>
    </row>
    <row r="888">
      <c r="A888" s="28"/>
      <c r="B888" s="28"/>
      <c r="C888" s="28"/>
      <c r="D888" s="28"/>
      <c r="E888" s="28"/>
      <c r="F888" s="28"/>
      <c r="G888" s="28"/>
      <c r="H888" s="28"/>
    </row>
    <row r="889">
      <c r="A889" s="28"/>
      <c r="B889" s="28"/>
      <c r="C889" s="28"/>
      <c r="D889" s="28"/>
      <c r="E889" s="28"/>
      <c r="F889" s="28"/>
      <c r="G889" s="28"/>
      <c r="H889" s="28"/>
    </row>
    <row r="890">
      <c r="A890" s="28"/>
      <c r="B890" s="28"/>
      <c r="C890" s="28"/>
      <c r="D890" s="28"/>
      <c r="E890" s="28"/>
      <c r="F890" s="28"/>
      <c r="G890" s="28"/>
      <c r="H890" s="28"/>
    </row>
    <row r="891">
      <c r="A891" s="28"/>
      <c r="B891" s="28"/>
      <c r="C891" s="28"/>
      <c r="D891" s="28"/>
      <c r="E891" s="28"/>
      <c r="F891" s="28"/>
      <c r="G891" s="28"/>
      <c r="H891" s="28"/>
    </row>
    <row r="892">
      <c r="A892" s="28"/>
      <c r="B892" s="28"/>
      <c r="C892" s="28"/>
      <c r="D892" s="28"/>
      <c r="E892" s="28"/>
      <c r="F892" s="28"/>
      <c r="G892" s="28"/>
      <c r="H892" s="28"/>
    </row>
    <row r="893">
      <c r="A893" s="28"/>
      <c r="B893" s="28"/>
      <c r="C893" s="28"/>
      <c r="D893" s="28"/>
      <c r="E893" s="28"/>
      <c r="F893" s="28"/>
      <c r="G893" s="28"/>
      <c r="H893" s="28"/>
    </row>
    <row r="894">
      <c r="A894" s="28"/>
      <c r="B894" s="28"/>
      <c r="C894" s="28"/>
      <c r="D894" s="28"/>
      <c r="E894" s="28"/>
      <c r="F894" s="28"/>
      <c r="G894" s="28"/>
      <c r="H894" s="28"/>
    </row>
    <row r="895">
      <c r="A895" s="28"/>
      <c r="B895" s="28"/>
      <c r="C895" s="28"/>
      <c r="D895" s="28"/>
      <c r="E895" s="28"/>
      <c r="F895" s="28"/>
      <c r="G895" s="28"/>
      <c r="H895" s="28"/>
    </row>
    <row r="896">
      <c r="A896" s="28"/>
      <c r="B896" s="28"/>
      <c r="C896" s="28"/>
      <c r="D896" s="28"/>
      <c r="E896" s="28"/>
      <c r="F896" s="28"/>
      <c r="G896" s="28"/>
      <c r="H896" s="28"/>
    </row>
    <row r="897">
      <c r="A897" s="28"/>
      <c r="B897" s="28"/>
      <c r="C897" s="28"/>
      <c r="D897" s="28"/>
      <c r="E897" s="28"/>
      <c r="F897" s="28"/>
      <c r="G897" s="28"/>
      <c r="H897" s="28"/>
    </row>
    <row r="898">
      <c r="A898" s="28"/>
      <c r="B898" s="28"/>
      <c r="C898" s="28"/>
      <c r="D898" s="28"/>
      <c r="E898" s="28"/>
      <c r="F898" s="28"/>
      <c r="G898" s="28"/>
      <c r="H898" s="28"/>
    </row>
    <row r="899">
      <c r="A899" s="28"/>
      <c r="B899" s="28"/>
      <c r="C899" s="28"/>
      <c r="D899" s="28"/>
      <c r="E899" s="28"/>
      <c r="F899" s="28"/>
      <c r="G899" s="28"/>
      <c r="H899" s="28"/>
    </row>
    <row r="900">
      <c r="A900" s="28"/>
      <c r="B900" s="28"/>
      <c r="C900" s="28"/>
      <c r="D900" s="28"/>
      <c r="E900" s="28"/>
      <c r="F900" s="28"/>
      <c r="G900" s="28"/>
      <c r="H900" s="28"/>
    </row>
    <row r="901">
      <c r="A901" s="28"/>
      <c r="B901" s="28"/>
      <c r="C901" s="28"/>
      <c r="D901" s="28"/>
      <c r="E901" s="28"/>
      <c r="F901" s="28"/>
      <c r="G901" s="28"/>
      <c r="H901" s="28"/>
    </row>
    <row r="902">
      <c r="A902" s="28"/>
      <c r="B902" s="28"/>
      <c r="C902" s="28"/>
      <c r="D902" s="28"/>
      <c r="E902" s="28"/>
      <c r="F902" s="28"/>
      <c r="G902" s="28"/>
      <c r="H902" s="28"/>
    </row>
    <row r="903">
      <c r="A903" s="28"/>
      <c r="B903" s="28"/>
      <c r="C903" s="28"/>
      <c r="D903" s="28"/>
      <c r="E903" s="28"/>
      <c r="F903" s="28"/>
      <c r="G903" s="28"/>
      <c r="H903" s="28"/>
    </row>
    <row r="904">
      <c r="A904" s="28"/>
      <c r="B904" s="28"/>
      <c r="C904" s="28"/>
      <c r="D904" s="28"/>
      <c r="E904" s="28"/>
      <c r="F904" s="28"/>
      <c r="G904" s="28"/>
      <c r="H904" s="28"/>
    </row>
    <row r="905">
      <c r="A905" s="28"/>
      <c r="B905" s="28"/>
      <c r="C905" s="28"/>
      <c r="D905" s="28"/>
      <c r="E905" s="28"/>
      <c r="F905" s="28"/>
      <c r="G905" s="28"/>
      <c r="H905" s="28"/>
    </row>
    <row r="906">
      <c r="A906" s="28"/>
      <c r="B906" s="28"/>
      <c r="C906" s="28"/>
      <c r="D906" s="28"/>
      <c r="E906" s="28"/>
      <c r="F906" s="28"/>
      <c r="G906" s="28"/>
      <c r="H906" s="28"/>
    </row>
    <row r="907">
      <c r="A907" s="28"/>
      <c r="B907" s="28"/>
      <c r="C907" s="28"/>
      <c r="D907" s="28"/>
      <c r="E907" s="28"/>
      <c r="F907" s="28"/>
      <c r="G907" s="28"/>
      <c r="H907" s="28"/>
    </row>
    <row r="908">
      <c r="A908" s="28"/>
      <c r="B908" s="28"/>
      <c r="C908" s="28"/>
      <c r="D908" s="28"/>
      <c r="E908" s="28"/>
      <c r="F908" s="28"/>
      <c r="G908" s="28"/>
      <c r="H908" s="28"/>
    </row>
    <row r="909">
      <c r="A909" s="28"/>
      <c r="B909" s="28"/>
      <c r="C909" s="28"/>
      <c r="D909" s="28"/>
      <c r="E909" s="28"/>
      <c r="F909" s="28"/>
      <c r="G909" s="28"/>
      <c r="H909" s="28"/>
    </row>
    <row r="910">
      <c r="A910" s="28"/>
      <c r="B910" s="28"/>
      <c r="C910" s="28"/>
      <c r="D910" s="28"/>
      <c r="E910" s="28"/>
      <c r="F910" s="28"/>
      <c r="G910" s="28"/>
      <c r="H910" s="28"/>
    </row>
    <row r="911">
      <c r="A911" s="28"/>
      <c r="B911" s="28"/>
      <c r="C911" s="28"/>
      <c r="D911" s="28"/>
      <c r="E911" s="28"/>
      <c r="F911" s="28"/>
      <c r="G911" s="28"/>
      <c r="H911" s="28"/>
    </row>
    <row r="912">
      <c r="A912" s="28"/>
      <c r="B912" s="28"/>
      <c r="C912" s="28"/>
      <c r="D912" s="28"/>
      <c r="E912" s="28"/>
      <c r="F912" s="28"/>
      <c r="G912" s="28"/>
      <c r="H912" s="28"/>
    </row>
    <row r="913">
      <c r="A913" s="28"/>
      <c r="B913" s="28"/>
      <c r="C913" s="28"/>
      <c r="D913" s="28"/>
      <c r="E913" s="28"/>
      <c r="F913" s="28"/>
      <c r="G913" s="28"/>
      <c r="H913" s="28"/>
    </row>
    <row r="914">
      <c r="A914" s="28"/>
      <c r="B914" s="28"/>
      <c r="C914" s="28"/>
      <c r="D914" s="28"/>
      <c r="E914" s="28"/>
      <c r="F914" s="28"/>
      <c r="G914" s="28"/>
      <c r="H914" s="28"/>
    </row>
    <row r="915">
      <c r="A915" s="28"/>
      <c r="B915" s="28"/>
      <c r="C915" s="28"/>
      <c r="D915" s="28"/>
      <c r="E915" s="28"/>
      <c r="F915" s="28"/>
      <c r="G915" s="28"/>
      <c r="H915" s="28"/>
    </row>
    <row r="916">
      <c r="A916" s="28"/>
      <c r="B916" s="28"/>
      <c r="C916" s="28"/>
      <c r="D916" s="28"/>
      <c r="E916" s="28"/>
      <c r="F916" s="28"/>
      <c r="G916" s="28"/>
      <c r="H916" s="28"/>
    </row>
    <row r="917">
      <c r="A917" s="28"/>
      <c r="B917" s="28"/>
      <c r="C917" s="28"/>
      <c r="D917" s="28"/>
      <c r="E917" s="28"/>
      <c r="F917" s="28"/>
      <c r="G917" s="28"/>
      <c r="H917" s="28"/>
    </row>
    <row r="918">
      <c r="A918" s="28"/>
      <c r="B918" s="28"/>
      <c r="C918" s="28"/>
      <c r="D918" s="28"/>
      <c r="E918" s="28"/>
      <c r="F918" s="28"/>
      <c r="G918" s="28"/>
      <c r="H918" s="28"/>
    </row>
    <row r="919">
      <c r="A919" s="28"/>
      <c r="B919" s="28"/>
      <c r="C919" s="28"/>
      <c r="D919" s="28"/>
      <c r="E919" s="28"/>
      <c r="F919" s="28"/>
      <c r="G919" s="28"/>
      <c r="H919" s="28"/>
    </row>
    <row r="920">
      <c r="A920" s="28"/>
      <c r="B920" s="28"/>
      <c r="C920" s="28"/>
      <c r="D920" s="28"/>
      <c r="E920" s="28"/>
      <c r="F920" s="28"/>
      <c r="G920" s="28"/>
      <c r="H920" s="28"/>
    </row>
    <row r="921">
      <c r="A921" s="28"/>
      <c r="B921" s="28"/>
      <c r="C921" s="28"/>
      <c r="D921" s="28"/>
      <c r="E921" s="28"/>
      <c r="F921" s="28"/>
      <c r="G921" s="28"/>
      <c r="H921" s="28"/>
    </row>
    <row r="922">
      <c r="A922" s="28"/>
      <c r="B922" s="28"/>
      <c r="C922" s="28"/>
      <c r="D922" s="28"/>
      <c r="E922" s="28"/>
      <c r="F922" s="28"/>
      <c r="G922" s="28"/>
      <c r="H922" s="28"/>
    </row>
    <row r="923">
      <c r="A923" s="28"/>
      <c r="B923" s="28"/>
      <c r="C923" s="28"/>
      <c r="D923" s="28"/>
      <c r="E923" s="28"/>
      <c r="F923" s="28"/>
      <c r="G923" s="28"/>
      <c r="H923" s="28"/>
    </row>
    <row r="924">
      <c r="A924" s="28"/>
      <c r="B924" s="28"/>
      <c r="C924" s="28"/>
      <c r="D924" s="28"/>
      <c r="E924" s="28"/>
      <c r="F924" s="28"/>
      <c r="G924" s="28"/>
      <c r="H924" s="28"/>
    </row>
    <row r="925">
      <c r="A925" s="28"/>
      <c r="B925" s="28"/>
      <c r="C925" s="28"/>
      <c r="D925" s="28"/>
      <c r="E925" s="28"/>
      <c r="F925" s="28"/>
      <c r="G925" s="28"/>
      <c r="H925" s="28"/>
    </row>
    <row r="926">
      <c r="A926" s="28"/>
      <c r="B926" s="28"/>
      <c r="C926" s="28"/>
      <c r="D926" s="28"/>
      <c r="E926" s="28"/>
      <c r="F926" s="28"/>
      <c r="G926" s="28"/>
      <c r="H926" s="28"/>
    </row>
    <row r="927">
      <c r="A927" s="28"/>
      <c r="B927" s="28"/>
      <c r="C927" s="28"/>
      <c r="D927" s="28"/>
      <c r="E927" s="28"/>
      <c r="F927" s="28"/>
      <c r="G927" s="28"/>
      <c r="H927" s="28"/>
    </row>
    <row r="928">
      <c r="A928" s="28"/>
      <c r="B928" s="28"/>
      <c r="C928" s="28"/>
      <c r="D928" s="28"/>
      <c r="E928" s="28"/>
      <c r="F928" s="28"/>
      <c r="G928" s="28"/>
      <c r="H928" s="28"/>
    </row>
    <row r="929">
      <c r="A929" s="28"/>
      <c r="B929" s="28"/>
      <c r="C929" s="28"/>
      <c r="D929" s="28"/>
      <c r="E929" s="28"/>
      <c r="F929" s="28"/>
      <c r="G929" s="28"/>
      <c r="H929" s="28"/>
    </row>
    <row r="930">
      <c r="A930" s="28"/>
      <c r="B930" s="28"/>
      <c r="C930" s="28"/>
      <c r="D930" s="28"/>
      <c r="E930" s="28"/>
      <c r="F930" s="28"/>
      <c r="G930" s="28"/>
      <c r="H930" s="28"/>
    </row>
    <row r="931">
      <c r="A931" s="28"/>
      <c r="B931" s="28"/>
      <c r="C931" s="28"/>
      <c r="D931" s="28"/>
      <c r="E931" s="28"/>
      <c r="F931" s="28"/>
      <c r="G931" s="28"/>
      <c r="H931" s="28"/>
    </row>
    <row r="932">
      <c r="A932" s="28"/>
      <c r="B932" s="28"/>
      <c r="C932" s="28"/>
      <c r="D932" s="28"/>
      <c r="E932" s="28"/>
      <c r="F932" s="28"/>
      <c r="G932" s="28"/>
      <c r="H932" s="28"/>
    </row>
    <row r="933">
      <c r="A933" s="28"/>
      <c r="B933" s="28"/>
      <c r="C933" s="28"/>
      <c r="D933" s="28"/>
      <c r="E933" s="28"/>
      <c r="F933" s="28"/>
      <c r="G933" s="28"/>
      <c r="H933" s="28"/>
    </row>
    <row r="934">
      <c r="A934" s="28"/>
      <c r="B934" s="28"/>
      <c r="C934" s="28"/>
      <c r="D934" s="28"/>
      <c r="E934" s="28"/>
      <c r="F934" s="28"/>
      <c r="G934" s="28"/>
      <c r="H934" s="28"/>
    </row>
    <row r="935">
      <c r="A935" s="28"/>
      <c r="B935" s="28"/>
      <c r="C935" s="28"/>
      <c r="D935" s="28"/>
      <c r="E935" s="28"/>
      <c r="F935" s="28"/>
      <c r="G935" s="28"/>
      <c r="H935" s="28"/>
    </row>
    <row r="936">
      <c r="A936" s="28"/>
      <c r="B936" s="28"/>
      <c r="C936" s="28"/>
      <c r="D936" s="28"/>
      <c r="E936" s="28"/>
      <c r="F936" s="28"/>
      <c r="G936" s="28"/>
      <c r="H936" s="28"/>
    </row>
    <row r="937">
      <c r="A937" s="28"/>
      <c r="B937" s="28"/>
      <c r="C937" s="28"/>
      <c r="D937" s="28"/>
      <c r="E937" s="28"/>
      <c r="F937" s="28"/>
      <c r="G937" s="28"/>
      <c r="H937" s="28"/>
    </row>
    <row r="938">
      <c r="A938" s="28"/>
      <c r="B938" s="28"/>
      <c r="C938" s="28"/>
      <c r="D938" s="28"/>
      <c r="E938" s="28"/>
      <c r="F938" s="28"/>
      <c r="G938" s="28"/>
      <c r="H938" s="28"/>
    </row>
    <row r="939">
      <c r="A939" s="28"/>
      <c r="B939" s="28"/>
      <c r="C939" s="28"/>
      <c r="D939" s="28"/>
      <c r="E939" s="28"/>
      <c r="F939" s="28"/>
      <c r="G939" s="28"/>
      <c r="H939" s="28"/>
    </row>
    <row r="940">
      <c r="A940" s="28"/>
      <c r="B940" s="28"/>
      <c r="C940" s="28"/>
      <c r="D940" s="28"/>
      <c r="E940" s="28"/>
      <c r="F940" s="28"/>
      <c r="G940" s="28"/>
      <c r="H940" s="28"/>
    </row>
    <row r="941">
      <c r="A941" s="28"/>
      <c r="B941" s="28"/>
      <c r="C941" s="28"/>
      <c r="D941" s="28"/>
      <c r="E941" s="28"/>
      <c r="F941" s="28"/>
      <c r="G941" s="28"/>
      <c r="H941" s="28"/>
    </row>
    <row r="942">
      <c r="A942" s="28"/>
      <c r="B942" s="28"/>
      <c r="C942" s="28"/>
      <c r="D942" s="28"/>
      <c r="E942" s="28"/>
      <c r="F942" s="28"/>
      <c r="G942" s="28"/>
      <c r="H942" s="28"/>
    </row>
    <row r="943">
      <c r="A943" s="28"/>
      <c r="B943" s="28"/>
      <c r="C943" s="28"/>
      <c r="D943" s="28"/>
      <c r="E943" s="28"/>
      <c r="F943" s="28"/>
      <c r="G943" s="28"/>
      <c r="H943" s="28"/>
    </row>
    <row r="944">
      <c r="A944" s="28"/>
      <c r="B944" s="28"/>
      <c r="C944" s="28"/>
      <c r="D944" s="28"/>
      <c r="E944" s="28"/>
      <c r="F944" s="28"/>
      <c r="G944" s="28"/>
      <c r="H944" s="28"/>
    </row>
    <row r="945">
      <c r="A945" s="28"/>
      <c r="B945" s="28"/>
      <c r="C945" s="28"/>
      <c r="D945" s="28"/>
      <c r="E945" s="28"/>
      <c r="F945" s="28"/>
      <c r="G945" s="28"/>
      <c r="H945" s="28"/>
    </row>
    <row r="946">
      <c r="A946" s="28"/>
      <c r="B946" s="28"/>
      <c r="C946" s="28"/>
      <c r="D946" s="28"/>
      <c r="E946" s="28"/>
      <c r="F946" s="28"/>
      <c r="G946" s="28"/>
      <c r="H946" s="28"/>
    </row>
    <row r="947">
      <c r="A947" s="28"/>
      <c r="B947" s="28"/>
      <c r="C947" s="28"/>
      <c r="D947" s="28"/>
      <c r="E947" s="28"/>
      <c r="F947" s="28"/>
      <c r="G947" s="28"/>
      <c r="H947" s="28"/>
    </row>
    <row r="948">
      <c r="A948" s="28"/>
      <c r="B948" s="28"/>
      <c r="C948" s="28"/>
      <c r="D948" s="28"/>
      <c r="E948" s="28"/>
      <c r="F948" s="28"/>
      <c r="G948" s="28"/>
      <c r="H948" s="28"/>
    </row>
    <row r="949">
      <c r="A949" s="28"/>
      <c r="B949" s="28"/>
      <c r="C949" s="28"/>
      <c r="D949" s="28"/>
      <c r="E949" s="28"/>
      <c r="F949" s="28"/>
      <c r="G949" s="28"/>
      <c r="H949" s="28"/>
    </row>
    <row r="950">
      <c r="A950" s="28"/>
      <c r="B950" s="28"/>
      <c r="C950" s="28"/>
      <c r="D950" s="28"/>
      <c r="E950" s="28"/>
      <c r="F950" s="28"/>
      <c r="G950" s="28"/>
      <c r="H950" s="28"/>
    </row>
    <row r="951">
      <c r="A951" s="28"/>
      <c r="B951" s="28"/>
      <c r="C951" s="28"/>
      <c r="D951" s="28"/>
      <c r="E951" s="28"/>
      <c r="F951" s="28"/>
      <c r="G951" s="28"/>
      <c r="H951" s="28"/>
    </row>
    <row r="952">
      <c r="A952" s="28"/>
      <c r="B952" s="28"/>
      <c r="C952" s="28"/>
      <c r="D952" s="28"/>
      <c r="E952" s="28"/>
      <c r="F952" s="28"/>
      <c r="G952" s="28"/>
      <c r="H952" s="28"/>
    </row>
    <row r="953">
      <c r="A953" s="28"/>
      <c r="B953" s="28"/>
      <c r="C953" s="28"/>
      <c r="D953" s="28"/>
      <c r="E953" s="28"/>
      <c r="F953" s="28"/>
      <c r="G953" s="28"/>
      <c r="H953" s="28"/>
    </row>
    <row r="954">
      <c r="A954" s="28"/>
      <c r="B954" s="28"/>
      <c r="C954" s="28"/>
      <c r="D954" s="28"/>
      <c r="E954" s="28"/>
      <c r="F954" s="28"/>
      <c r="G954" s="28"/>
      <c r="H954" s="28"/>
    </row>
    <row r="955">
      <c r="A955" s="28"/>
      <c r="B955" s="28"/>
      <c r="C955" s="28"/>
      <c r="D955" s="28"/>
      <c r="E955" s="28"/>
      <c r="F955" s="28"/>
      <c r="G955" s="28"/>
      <c r="H955" s="28"/>
    </row>
    <row r="956">
      <c r="A956" s="28"/>
      <c r="B956" s="28"/>
      <c r="C956" s="28"/>
      <c r="D956" s="28"/>
      <c r="E956" s="28"/>
      <c r="F956" s="28"/>
      <c r="G956" s="28"/>
      <c r="H956" s="28"/>
    </row>
    <row r="957">
      <c r="A957" s="28"/>
      <c r="B957" s="28"/>
      <c r="C957" s="28"/>
      <c r="D957" s="28"/>
      <c r="E957" s="28"/>
      <c r="F957" s="28"/>
      <c r="G957" s="28"/>
      <c r="H957" s="28"/>
    </row>
    <row r="958">
      <c r="A958" s="28"/>
      <c r="B958" s="28"/>
      <c r="C958" s="28"/>
      <c r="D958" s="28"/>
      <c r="E958" s="28"/>
      <c r="F958" s="28"/>
      <c r="G958" s="28"/>
      <c r="H958" s="28"/>
    </row>
    <row r="959">
      <c r="A959" s="28"/>
      <c r="B959" s="28"/>
      <c r="C959" s="28"/>
      <c r="D959" s="28"/>
      <c r="E959" s="28"/>
      <c r="F959" s="28"/>
      <c r="G959" s="28"/>
      <c r="H959" s="28"/>
    </row>
    <row r="960">
      <c r="A960" s="28"/>
      <c r="B960" s="28"/>
      <c r="C960" s="28"/>
      <c r="D960" s="28"/>
      <c r="E960" s="28"/>
      <c r="F960" s="28"/>
      <c r="G960" s="28"/>
      <c r="H960" s="28"/>
    </row>
    <row r="961">
      <c r="A961" s="28"/>
      <c r="B961" s="28"/>
      <c r="C961" s="28"/>
      <c r="D961" s="28"/>
      <c r="E961" s="28"/>
      <c r="F961" s="28"/>
      <c r="G961" s="28"/>
      <c r="H961" s="28"/>
    </row>
    <row r="962">
      <c r="A962" s="28"/>
      <c r="B962" s="28"/>
      <c r="C962" s="28"/>
      <c r="D962" s="28"/>
      <c r="E962" s="28"/>
      <c r="F962" s="28"/>
      <c r="G962" s="28"/>
      <c r="H962" s="28"/>
    </row>
    <row r="963">
      <c r="A963" s="28"/>
      <c r="B963" s="28"/>
      <c r="C963" s="28"/>
      <c r="D963" s="28"/>
      <c r="E963" s="28"/>
      <c r="F963" s="28"/>
      <c r="G963" s="28"/>
      <c r="H963" s="28"/>
    </row>
    <row r="964">
      <c r="A964" s="28"/>
      <c r="B964" s="28"/>
      <c r="C964" s="28"/>
      <c r="D964" s="28"/>
      <c r="E964" s="28"/>
      <c r="F964" s="28"/>
      <c r="G964" s="28"/>
      <c r="H964" s="28"/>
    </row>
    <row r="965">
      <c r="A965" s="28"/>
      <c r="B965" s="28"/>
      <c r="C965" s="28"/>
      <c r="D965" s="28"/>
      <c r="E965" s="28"/>
      <c r="F965" s="28"/>
      <c r="G965" s="28"/>
      <c r="H965" s="28"/>
    </row>
    <row r="966">
      <c r="A966" s="28"/>
      <c r="B966" s="28"/>
      <c r="C966" s="28"/>
      <c r="D966" s="28"/>
      <c r="E966" s="28"/>
      <c r="F966" s="28"/>
      <c r="G966" s="28"/>
      <c r="H966" s="28"/>
    </row>
    <row r="967">
      <c r="A967" s="28"/>
      <c r="B967" s="28"/>
      <c r="C967" s="28"/>
      <c r="D967" s="28"/>
      <c r="E967" s="28"/>
      <c r="F967" s="28"/>
      <c r="G967" s="28"/>
      <c r="H967" s="28"/>
    </row>
    <row r="968">
      <c r="A968" s="28"/>
      <c r="B968" s="28"/>
      <c r="C968" s="28"/>
      <c r="D968" s="28"/>
      <c r="E968" s="28"/>
      <c r="F968" s="28"/>
      <c r="G968" s="28"/>
      <c r="H968" s="28"/>
    </row>
    <row r="969">
      <c r="A969" s="28"/>
      <c r="B969" s="28"/>
      <c r="C969" s="28"/>
      <c r="D969" s="28"/>
      <c r="E969" s="28"/>
      <c r="F969" s="28"/>
      <c r="G969" s="28"/>
      <c r="H969" s="28"/>
    </row>
    <row r="970">
      <c r="A970" s="28"/>
      <c r="B970" s="28"/>
      <c r="C970" s="28"/>
      <c r="D970" s="28"/>
      <c r="E970" s="28"/>
      <c r="F970" s="28"/>
      <c r="G970" s="28"/>
      <c r="H970" s="28"/>
    </row>
    <row r="971">
      <c r="A971" s="28"/>
      <c r="B971" s="28"/>
      <c r="C971" s="28"/>
      <c r="D971" s="28"/>
      <c r="E971" s="28"/>
      <c r="F971" s="28"/>
      <c r="G971" s="28"/>
      <c r="H971" s="28"/>
    </row>
    <row r="972">
      <c r="A972" s="28"/>
      <c r="B972" s="28"/>
      <c r="C972" s="28"/>
      <c r="D972" s="28"/>
      <c r="E972" s="28"/>
      <c r="F972" s="28"/>
      <c r="G972" s="28"/>
      <c r="H972" s="28"/>
    </row>
    <row r="973">
      <c r="A973" s="28"/>
      <c r="B973" s="28"/>
      <c r="C973" s="28"/>
      <c r="D973" s="28"/>
      <c r="E973" s="28"/>
      <c r="F973" s="28"/>
      <c r="G973" s="28"/>
      <c r="H973" s="28"/>
    </row>
    <row r="974">
      <c r="A974" s="28"/>
      <c r="B974" s="28"/>
      <c r="C974" s="28"/>
      <c r="D974" s="28"/>
      <c r="E974" s="28"/>
      <c r="F974" s="28"/>
      <c r="G974" s="28"/>
      <c r="H974" s="28"/>
    </row>
    <row r="975">
      <c r="A975" s="28"/>
      <c r="B975" s="28"/>
      <c r="C975" s="28"/>
      <c r="D975" s="28"/>
      <c r="E975" s="28"/>
      <c r="F975" s="28"/>
      <c r="G975" s="28"/>
      <c r="H975" s="28"/>
    </row>
    <row r="976">
      <c r="A976" s="28"/>
      <c r="B976" s="28"/>
      <c r="C976" s="28"/>
      <c r="D976" s="28"/>
      <c r="E976" s="28"/>
      <c r="F976" s="28"/>
      <c r="G976" s="28"/>
      <c r="H976" s="28"/>
    </row>
    <row r="977">
      <c r="A977" s="28"/>
      <c r="B977" s="28"/>
      <c r="C977" s="28"/>
      <c r="D977" s="28"/>
      <c r="E977" s="28"/>
      <c r="F977" s="28"/>
      <c r="G977" s="28"/>
      <c r="H977" s="28"/>
    </row>
    <row r="978">
      <c r="A978" s="28"/>
      <c r="B978" s="28"/>
      <c r="C978" s="28"/>
      <c r="D978" s="28"/>
      <c r="E978" s="28"/>
      <c r="F978" s="28"/>
      <c r="G978" s="28"/>
      <c r="H978" s="28"/>
    </row>
    <row r="979">
      <c r="A979" s="28"/>
      <c r="B979" s="28"/>
      <c r="C979" s="28"/>
      <c r="D979" s="28"/>
      <c r="E979" s="28"/>
      <c r="F979" s="28"/>
      <c r="G979" s="28"/>
      <c r="H979" s="28"/>
    </row>
    <row r="980">
      <c r="A980" s="28"/>
      <c r="B980" s="28"/>
      <c r="C980" s="28"/>
      <c r="D980" s="28"/>
      <c r="E980" s="28"/>
      <c r="F980" s="28"/>
      <c r="G980" s="28"/>
      <c r="H980" s="28"/>
    </row>
    <row r="981">
      <c r="A981" s="28"/>
      <c r="B981" s="28"/>
      <c r="C981" s="28"/>
      <c r="D981" s="28"/>
      <c r="E981" s="28"/>
      <c r="F981" s="28"/>
      <c r="G981" s="28"/>
      <c r="H981" s="28"/>
    </row>
    <row r="982">
      <c r="A982" s="28"/>
      <c r="B982" s="28"/>
      <c r="C982" s="28"/>
      <c r="D982" s="28"/>
      <c r="E982" s="28"/>
      <c r="F982" s="28"/>
      <c r="G982" s="28"/>
      <c r="H982" s="28"/>
    </row>
    <row r="983">
      <c r="A983" s="28"/>
      <c r="B983" s="28"/>
      <c r="C983" s="28"/>
      <c r="D983" s="28"/>
      <c r="E983" s="28"/>
      <c r="F983" s="28"/>
      <c r="G983" s="28"/>
      <c r="H983" s="28"/>
    </row>
    <row r="984">
      <c r="A984" s="28"/>
      <c r="B984" s="28"/>
      <c r="C984" s="28"/>
      <c r="D984" s="28"/>
      <c r="E984" s="28"/>
      <c r="F984" s="28"/>
      <c r="G984" s="28"/>
      <c r="H984" s="28"/>
    </row>
    <row r="985">
      <c r="A985" s="28"/>
      <c r="B985" s="28"/>
      <c r="C985" s="28"/>
      <c r="D985" s="28"/>
      <c r="E985" s="28"/>
      <c r="F985" s="28"/>
      <c r="G985" s="28"/>
      <c r="H985" s="28"/>
    </row>
    <row r="986">
      <c r="A986" s="28"/>
      <c r="B986" s="28"/>
      <c r="C986" s="28"/>
      <c r="D986" s="28"/>
      <c r="E986" s="28"/>
      <c r="F986" s="28"/>
      <c r="G986" s="28"/>
      <c r="H986" s="28"/>
    </row>
    <row r="987">
      <c r="A987" s="28"/>
      <c r="B987" s="28"/>
      <c r="C987" s="28"/>
      <c r="D987" s="28"/>
      <c r="E987" s="28"/>
      <c r="F987" s="28"/>
      <c r="G987" s="28"/>
      <c r="H987" s="28"/>
    </row>
    <row r="988">
      <c r="A988" s="28"/>
      <c r="B988" s="28"/>
      <c r="C988" s="28"/>
      <c r="D988" s="28"/>
      <c r="E988" s="28"/>
      <c r="F988" s="28"/>
      <c r="G988" s="28"/>
      <c r="H988" s="28"/>
    </row>
    <row r="989">
      <c r="A989" s="28"/>
      <c r="B989" s="28"/>
      <c r="C989" s="28"/>
      <c r="D989" s="28"/>
      <c r="E989" s="28"/>
      <c r="F989" s="28"/>
      <c r="G989" s="28"/>
      <c r="H989" s="28"/>
    </row>
    <row r="990">
      <c r="A990" s="28"/>
      <c r="B990" s="28"/>
      <c r="C990" s="28"/>
      <c r="D990" s="28"/>
      <c r="E990" s="28"/>
      <c r="F990" s="28"/>
      <c r="G990" s="28"/>
      <c r="H990" s="28"/>
    </row>
    <row r="991">
      <c r="A991" s="28"/>
      <c r="B991" s="28"/>
      <c r="C991" s="28"/>
      <c r="D991" s="28"/>
      <c r="E991" s="28"/>
      <c r="F991" s="28"/>
      <c r="G991" s="28"/>
      <c r="H991" s="28"/>
    </row>
    <row r="992">
      <c r="A992" s="28"/>
      <c r="B992" s="28"/>
      <c r="C992" s="28"/>
      <c r="D992" s="28"/>
      <c r="E992" s="28"/>
      <c r="F992" s="28"/>
      <c r="G992" s="28"/>
      <c r="H992" s="28"/>
    </row>
    <row r="993">
      <c r="A993" s="28"/>
      <c r="B993" s="28"/>
      <c r="C993" s="28"/>
      <c r="D993" s="28"/>
      <c r="E993" s="28"/>
      <c r="F993" s="28"/>
      <c r="G993" s="28"/>
      <c r="H993" s="28"/>
    </row>
    <row r="994">
      <c r="A994" s="28"/>
      <c r="B994" s="28"/>
      <c r="C994" s="28"/>
      <c r="D994" s="28"/>
      <c r="E994" s="28"/>
      <c r="F994" s="28"/>
      <c r="G994" s="28"/>
      <c r="H994" s="28"/>
    </row>
    <row r="995">
      <c r="A995" s="28"/>
      <c r="B995" s="28"/>
      <c r="C995" s="28"/>
      <c r="D995" s="28"/>
      <c r="E995" s="28"/>
      <c r="F995" s="28"/>
      <c r="G995" s="28"/>
      <c r="H995" s="28"/>
    </row>
    <row r="996">
      <c r="A996" s="28"/>
      <c r="B996" s="28"/>
      <c r="C996" s="28"/>
      <c r="D996" s="28"/>
      <c r="E996" s="28"/>
      <c r="F996" s="28"/>
      <c r="G996" s="28"/>
      <c r="H996" s="28"/>
    </row>
    <row r="997">
      <c r="A997" s="28"/>
      <c r="B997" s="28"/>
      <c r="C997" s="28"/>
      <c r="D997" s="28"/>
      <c r="E997" s="28"/>
      <c r="F997" s="28"/>
      <c r="G997" s="28"/>
      <c r="H997" s="28"/>
    </row>
    <row r="998">
      <c r="A998" s="28"/>
      <c r="B998" s="28"/>
      <c r="C998" s="28"/>
      <c r="D998" s="28"/>
      <c r="E998" s="28"/>
      <c r="F998" s="28"/>
      <c r="G998" s="28"/>
      <c r="H998" s="28"/>
    </row>
    <row r="999">
      <c r="A999" s="28"/>
      <c r="B999" s="28"/>
      <c r="C999" s="28"/>
      <c r="D999" s="28"/>
      <c r="E999" s="28"/>
      <c r="F999" s="28"/>
      <c r="G999" s="28"/>
      <c r="H999" s="28"/>
    </row>
    <row r="1000">
      <c r="A1000" s="28"/>
      <c r="B1000" s="28"/>
      <c r="C1000" s="28"/>
      <c r="D1000" s="28"/>
      <c r="E1000" s="28"/>
      <c r="F1000" s="28"/>
      <c r="G1000" s="28"/>
      <c r="H1000" s="28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2" max="2" width="79.43"/>
  </cols>
  <sheetData>
    <row r="1">
      <c r="A1" s="41" t="s">
        <v>0</v>
      </c>
      <c r="B1" s="4"/>
      <c r="C1" s="100"/>
      <c r="D1" s="100"/>
      <c r="E1" s="100"/>
      <c r="F1" s="100"/>
      <c r="G1" s="100"/>
      <c r="H1" s="100"/>
      <c r="I1" s="100"/>
      <c r="J1" s="100"/>
      <c r="K1" s="100"/>
    </row>
    <row r="2">
      <c r="A2" s="6" t="s">
        <v>1</v>
      </c>
      <c r="B2" s="42"/>
      <c r="C2" s="101" t="s">
        <v>2</v>
      </c>
      <c r="D2" s="101" t="s">
        <v>3</v>
      </c>
      <c r="E2" s="101" t="s">
        <v>4</v>
      </c>
      <c r="F2" s="101" t="s">
        <v>5</v>
      </c>
      <c r="G2" s="101" t="s">
        <v>6</v>
      </c>
      <c r="H2" s="102" t="s">
        <v>7</v>
      </c>
      <c r="I2" s="102" t="s">
        <v>8</v>
      </c>
      <c r="J2" s="102" t="s">
        <v>9</v>
      </c>
      <c r="K2" s="102" t="s">
        <v>10</v>
      </c>
    </row>
    <row r="3">
      <c r="A3" s="10" t="s">
        <v>11</v>
      </c>
      <c r="B3" s="103" t="s">
        <v>12</v>
      </c>
      <c r="C3" s="104">
        <v>260.0</v>
      </c>
      <c r="D3" s="104">
        <v>240.0</v>
      </c>
      <c r="E3" s="104">
        <v>220.0</v>
      </c>
      <c r="F3" s="104">
        <v>205.0</v>
      </c>
      <c r="G3" s="104">
        <v>190.0</v>
      </c>
      <c r="H3" s="105">
        <v>175.0</v>
      </c>
      <c r="I3" s="105">
        <v>160.0</v>
      </c>
      <c r="J3" s="105">
        <v>145.0</v>
      </c>
      <c r="K3" s="105">
        <v>140.0</v>
      </c>
    </row>
    <row r="4">
      <c r="A4" s="45" t="s">
        <v>13</v>
      </c>
      <c r="B4" s="47" t="s">
        <v>14</v>
      </c>
      <c r="C4" s="106">
        <v>310.0</v>
      </c>
      <c r="D4" s="106">
        <v>290.0</v>
      </c>
      <c r="E4" s="106">
        <v>270.0</v>
      </c>
      <c r="F4" s="106">
        <v>255.0</v>
      </c>
      <c r="G4" s="106">
        <v>240.0</v>
      </c>
      <c r="H4" s="107">
        <v>225.0</v>
      </c>
      <c r="I4" s="107">
        <v>210.0</v>
      </c>
      <c r="J4" s="107">
        <v>195.0</v>
      </c>
      <c r="K4" s="107">
        <v>190.0</v>
      </c>
    </row>
    <row r="5">
      <c r="A5" s="10" t="s">
        <v>15</v>
      </c>
      <c r="B5" s="20" t="s">
        <v>16</v>
      </c>
      <c r="C5" s="104">
        <v>220.0</v>
      </c>
      <c r="D5" s="104">
        <v>200.0</v>
      </c>
      <c r="E5" s="104">
        <v>180.0</v>
      </c>
      <c r="F5" s="104">
        <v>165.0</v>
      </c>
      <c r="G5" s="104">
        <v>150.0</v>
      </c>
      <c r="H5" s="105">
        <v>135.0</v>
      </c>
      <c r="I5" s="105">
        <v>120.0</v>
      </c>
      <c r="J5" s="105">
        <v>110.0</v>
      </c>
      <c r="K5" s="105">
        <v>105.0</v>
      </c>
    </row>
    <row r="6">
      <c r="A6" s="10" t="s">
        <v>17</v>
      </c>
      <c r="B6" s="20" t="s">
        <v>18</v>
      </c>
      <c r="C6" s="104">
        <v>270.0</v>
      </c>
      <c r="D6" s="104">
        <v>250.0</v>
      </c>
      <c r="E6" s="104">
        <v>230.0</v>
      </c>
      <c r="F6" s="104">
        <v>215.0</v>
      </c>
      <c r="G6" s="104">
        <v>200.0</v>
      </c>
      <c r="H6" s="105">
        <v>185.0</v>
      </c>
      <c r="I6" s="105">
        <v>170.0</v>
      </c>
      <c r="J6" s="105">
        <v>160.0</v>
      </c>
      <c r="K6" s="105">
        <v>155.0</v>
      </c>
    </row>
    <row r="7">
      <c r="A7" s="15" t="s">
        <v>19</v>
      </c>
      <c r="B7" s="23"/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08" t="s">
        <v>7</v>
      </c>
      <c r="I7" s="102" t="s">
        <v>8</v>
      </c>
      <c r="J7" s="102" t="s">
        <v>9</v>
      </c>
      <c r="K7" s="102" t="s">
        <v>10</v>
      </c>
    </row>
    <row r="8">
      <c r="A8" s="10" t="s">
        <v>20</v>
      </c>
      <c r="B8" s="20" t="s">
        <v>21</v>
      </c>
      <c r="C8" s="104">
        <v>180.0</v>
      </c>
      <c r="D8" s="104">
        <v>160.0</v>
      </c>
      <c r="E8" s="104">
        <v>140.0</v>
      </c>
      <c r="F8" s="104">
        <v>125.0</v>
      </c>
      <c r="G8" s="104">
        <v>110.0</v>
      </c>
      <c r="H8" s="105">
        <v>95.0</v>
      </c>
      <c r="I8" s="105">
        <v>85.0</v>
      </c>
      <c r="J8" s="105">
        <v>75.0</v>
      </c>
      <c r="K8" s="105">
        <v>70.0</v>
      </c>
    </row>
    <row r="9">
      <c r="A9" s="10" t="s">
        <v>22</v>
      </c>
      <c r="B9" s="20" t="s">
        <v>23</v>
      </c>
      <c r="C9" s="104">
        <v>220.0</v>
      </c>
      <c r="D9" s="104">
        <v>200.0</v>
      </c>
      <c r="E9" s="104">
        <v>180.0</v>
      </c>
      <c r="F9" s="104">
        <v>165.0</v>
      </c>
      <c r="G9" s="104">
        <v>150.0</v>
      </c>
      <c r="H9" s="105">
        <v>135.0</v>
      </c>
      <c r="I9" s="105">
        <v>125.0</v>
      </c>
      <c r="J9" s="105">
        <v>115.0</v>
      </c>
      <c r="K9" s="105">
        <v>110.0</v>
      </c>
    </row>
    <row r="10">
      <c r="A10" s="15" t="s">
        <v>24</v>
      </c>
      <c r="B10" s="23"/>
      <c r="C10" s="15" t="s">
        <v>2</v>
      </c>
      <c r="D10" s="15" t="s">
        <v>3</v>
      </c>
      <c r="E10" s="15" t="s">
        <v>4</v>
      </c>
      <c r="F10" s="15" t="s">
        <v>5</v>
      </c>
      <c r="G10" s="108">
        <v>500.0</v>
      </c>
      <c r="H10" s="102" t="s">
        <v>7</v>
      </c>
      <c r="I10" s="102" t="s">
        <v>8</v>
      </c>
      <c r="J10" s="102" t="s">
        <v>9</v>
      </c>
      <c r="K10" s="102" t="s">
        <v>10</v>
      </c>
    </row>
    <row r="11">
      <c r="A11" s="10" t="s">
        <v>25</v>
      </c>
      <c r="B11" s="20" t="s">
        <v>26</v>
      </c>
      <c r="C11" s="104">
        <v>300.0</v>
      </c>
      <c r="D11" s="104">
        <v>280.0</v>
      </c>
      <c r="E11" s="104">
        <v>260.0</v>
      </c>
      <c r="F11" s="104">
        <v>245.0</v>
      </c>
      <c r="G11" s="104">
        <v>230.0</v>
      </c>
      <c r="H11" s="105">
        <v>215.0</v>
      </c>
      <c r="I11" s="105">
        <v>200.0</v>
      </c>
      <c r="J11" s="105">
        <v>185.0</v>
      </c>
      <c r="K11" s="105">
        <v>180.0</v>
      </c>
    </row>
    <row r="12">
      <c r="A12" s="10" t="s">
        <v>27</v>
      </c>
      <c r="B12" s="20" t="s">
        <v>28</v>
      </c>
      <c r="C12" s="104">
        <v>350.0</v>
      </c>
      <c r="D12" s="104">
        <v>330.0</v>
      </c>
      <c r="E12" s="104">
        <v>310.0</v>
      </c>
      <c r="F12" s="104">
        <v>295.0</v>
      </c>
      <c r="G12" s="104">
        <v>280.0</v>
      </c>
      <c r="H12" s="105">
        <v>265.0</v>
      </c>
      <c r="I12" s="105">
        <v>250.0</v>
      </c>
      <c r="J12" s="105">
        <v>235.0</v>
      </c>
      <c r="K12" s="105">
        <v>230.0</v>
      </c>
    </row>
    <row r="13">
      <c r="A13" s="6" t="s">
        <v>29</v>
      </c>
      <c r="B13" s="42"/>
      <c r="C13" s="101" t="s">
        <v>2</v>
      </c>
      <c r="D13" s="101" t="s">
        <v>3</v>
      </c>
      <c r="E13" s="101" t="s">
        <v>4</v>
      </c>
      <c r="F13" s="101" t="s">
        <v>5</v>
      </c>
      <c r="G13" s="102" t="s">
        <v>30</v>
      </c>
      <c r="H13" s="102" t="s">
        <v>7</v>
      </c>
      <c r="I13" s="102" t="s">
        <v>8</v>
      </c>
      <c r="J13" s="102" t="s">
        <v>9</v>
      </c>
      <c r="K13" s="102" t="s">
        <v>10</v>
      </c>
    </row>
    <row r="14">
      <c r="A14" s="10" t="s">
        <v>31</v>
      </c>
      <c r="B14" s="20" t="s">
        <v>32</v>
      </c>
      <c r="C14" s="104">
        <v>295.0</v>
      </c>
      <c r="D14" s="104">
        <v>275.0</v>
      </c>
      <c r="E14" s="104">
        <v>255.0</v>
      </c>
      <c r="F14" s="104">
        <v>240.0</v>
      </c>
      <c r="G14" s="104">
        <v>225.0</v>
      </c>
      <c r="H14" s="105">
        <v>210.0</v>
      </c>
      <c r="I14" s="105">
        <v>195.0</v>
      </c>
      <c r="J14" s="105">
        <v>180.0</v>
      </c>
      <c r="K14" s="105">
        <v>175.0</v>
      </c>
    </row>
    <row r="15">
      <c r="A15" s="45" t="s">
        <v>33</v>
      </c>
      <c r="B15" s="47" t="s">
        <v>34</v>
      </c>
      <c r="C15" s="106">
        <v>345.0</v>
      </c>
      <c r="D15" s="106">
        <v>325.0</v>
      </c>
      <c r="E15" s="106">
        <v>305.0</v>
      </c>
      <c r="F15" s="106">
        <v>290.0</v>
      </c>
      <c r="G15" s="106">
        <v>275.0</v>
      </c>
      <c r="H15" s="107">
        <v>260.0</v>
      </c>
      <c r="I15" s="107">
        <v>245.0</v>
      </c>
      <c r="J15" s="107">
        <v>230.0</v>
      </c>
      <c r="K15" s="107">
        <v>225.0</v>
      </c>
    </row>
    <row r="16">
      <c r="A16" s="10" t="s">
        <v>35</v>
      </c>
      <c r="B16" s="20" t="s">
        <v>36</v>
      </c>
      <c r="C16" s="104">
        <v>550.0</v>
      </c>
      <c r="D16" s="104">
        <v>510.0</v>
      </c>
      <c r="E16" s="104">
        <v>460.0</v>
      </c>
      <c r="F16" s="104">
        <v>410.0</v>
      </c>
      <c r="G16" s="104">
        <v>390.0</v>
      </c>
      <c r="H16" s="105">
        <v>360.0</v>
      </c>
      <c r="I16" s="105">
        <v>320.0</v>
      </c>
      <c r="J16" s="105">
        <v>290.0</v>
      </c>
      <c r="K16" s="105">
        <v>285.0</v>
      </c>
    </row>
    <row r="17">
      <c r="A17" s="10" t="s">
        <v>37</v>
      </c>
      <c r="B17" s="20" t="s">
        <v>38</v>
      </c>
      <c r="C17" s="104">
        <v>620.0</v>
      </c>
      <c r="D17" s="104">
        <v>580.0</v>
      </c>
      <c r="E17" s="104">
        <v>530.0</v>
      </c>
      <c r="F17" s="104">
        <v>480.0</v>
      </c>
      <c r="G17" s="104">
        <v>460.0</v>
      </c>
      <c r="H17" s="105">
        <v>430.0</v>
      </c>
      <c r="I17" s="105">
        <v>390.0</v>
      </c>
      <c r="J17" s="105">
        <v>360.0</v>
      </c>
      <c r="K17" s="105">
        <v>355.0</v>
      </c>
    </row>
    <row r="18">
      <c r="A18" s="6" t="s">
        <v>39</v>
      </c>
      <c r="B18" s="42"/>
      <c r="C18" s="101" t="s">
        <v>2</v>
      </c>
      <c r="D18" s="101" t="s">
        <v>3</v>
      </c>
      <c r="E18" s="101" t="s">
        <v>4</v>
      </c>
      <c r="F18" s="101" t="s">
        <v>5</v>
      </c>
      <c r="G18" s="101"/>
      <c r="H18" s="102" t="s">
        <v>7</v>
      </c>
      <c r="I18" s="102" t="s">
        <v>8</v>
      </c>
      <c r="J18" s="102" t="s">
        <v>9</v>
      </c>
      <c r="K18" s="102" t="s">
        <v>10</v>
      </c>
    </row>
    <row r="19">
      <c r="A19" s="10" t="s">
        <v>40</v>
      </c>
      <c r="B19" s="20" t="s">
        <v>41</v>
      </c>
      <c r="C19" s="104">
        <v>130.0</v>
      </c>
      <c r="D19" s="104">
        <v>125.0</v>
      </c>
      <c r="E19" s="104">
        <v>120.0</v>
      </c>
      <c r="F19" s="104">
        <v>115.0</v>
      </c>
      <c r="G19" s="104">
        <v>105.0</v>
      </c>
      <c r="H19" s="105">
        <v>95.0</v>
      </c>
      <c r="I19" s="105">
        <v>90.0</v>
      </c>
      <c r="J19" s="105">
        <v>85.0</v>
      </c>
      <c r="K19" s="105">
        <v>80.0</v>
      </c>
    </row>
    <row r="20">
      <c r="A20" s="62" t="s">
        <v>42</v>
      </c>
      <c r="B20" s="63" t="s">
        <v>43</v>
      </c>
      <c r="C20" s="106">
        <v>150.0</v>
      </c>
      <c r="D20" s="106">
        <v>145.0</v>
      </c>
      <c r="E20" s="106">
        <v>140.0</v>
      </c>
      <c r="F20" s="106">
        <v>135.0</v>
      </c>
      <c r="G20" s="106">
        <v>125.0</v>
      </c>
      <c r="H20" s="107">
        <v>115.0</v>
      </c>
      <c r="I20" s="107">
        <v>105.0</v>
      </c>
      <c r="J20" s="107">
        <v>98.0</v>
      </c>
      <c r="K20" s="107">
        <v>93.0</v>
      </c>
    </row>
    <row r="21">
      <c r="A21" s="10" t="s">
        <v>44</v>
      </c>
      <c r="B21" s="20" t="s">
        <v>45</v>
      </c>
      <c r="C21" s="104">
        <v>140.0</v>
      </c>
      <c r="D21" s="104">
        <v>135.0</v>
      </c>
      <c r="E21" s="104">
        <v>130.0</v>
      </c>
      <c r="F21" s="104">
        <v>125.0</v>
      </c>
      <c r="G21" s="104">
        <v>115.0</v>
      </c>
      <c r="H21" s="105">
        <v>105.0</v>
      </c>
      <c r="I21" s="105">
        <v>98.0</v>
      </c>
      <c r="J21" s="105">
        <v>95.0</v>
      </c>
      <c r="K21" s="105">
        <v>90.0</v>
      </c>
    </row>
    <row r="22">
      <c r="A22" s="10" t="s">
        <v>46</v>
      </c>
      <c r="B22" s="20" t="s">
        <v>47</v>
      </c>
      <c r="C22" s="104">
        <v>160.0</v>
      </c>
      <c r="D22" s="104">
        <v>155.0</v>
      </c>
      <c r="E22" s="104">
        <v>150.0</v>
      </c>
      <c r="F22" s="104">
        <v>145.0</v>
      </c>
      <c r="G22" s="104">
        <v>135.0</v>
      </c>
      <c r="H22" s="105">
        <v>125.0</v>
      </c>
      <c r="I22" s="105">
        <v>115.0</v>
      </c>
      <c r="J22" s="105">
        <v>110.0</v>
      </c>
      <c r="K22" s="105">
        <v>105.0</v>
      </c>
    </row>
    <row r="23">
      <c r="A23" s="15" t="s">
        <v>48</v>
      </c>
      <c r="B23" s="23"/>
      <c r="C23" s="15" t="s">
        <v>2</v>
      </c>
      <c r="D23" s="15" t="s">
        <v>3</v>
      </c>
      <c r="E23" s="15" t="s">
        <v>4</v>
      </c>
      <c r="F23" s="15" t="s">
        <v>5</v>
      </c>
      <c r="G23" s="15" t="s">
        <v>6</v>
      </c>
      <c r="H23" s="102" t="s">
        <v>7</v>
      </c>
      <c r="I23" s="102" t="s">
        <v>8</v>
      </c>
      <c r="J23" s="102" t="s">
        <v>9</v>
      </c>
      <c r="K23" s="102" t="s">
        <v>10</v>
      </c>
    </row>
    <row r="24">
      <c r="A24" s="10" t="s">
        <v>49</v>
      </c>
      <c r="B24" s="20" t="s">
        <v>50</v>
      </c>
      <c r="C24" s="104">
        <v>270.0</v>
      </c>
      <c r="D24" s="104">
        <v>250.0</v>
      </c>
      <c r="E24" s="104">
        <v>230.0</v>
      </c>
      <c r="F24" s="104">
        <v>215.0</v>
      </c>
      <c r="G24" s="104">
        <v>200.0</v>
      </c>
      <c r="H24" s="105">
        <v>165.0</v>
      </c>
      <c r="I24" s="105">
        <v>150.0</v>
      </c>
      <c r="J24" s="105">
        <v>135.0</v>
      </c>
      <c r="K24" s="105">
        <v>130.0</v>
      </c>
    </row>
    <row r="25">
      <c r="A25" s="10" t="s">
        <v>51</v>
      </c>
      <c r="B25" s="20" t="s">
        <v>52</v>
      </c>
      <c r="C25" s="104">
        <v>320.0</v>
      </c>
      <c r="D25" s="104">
        <v>300.0</v>
      </c>
      <c r="E25" s="104">
        <v>280.0</v>
      </c>
      <c r="F25" s="104">
        <v>265.0</v>
      </c>
      <c r="G25" s="104">
        <v>260.0</v>
      </c>
      <c r="H25" s="105">
        <v>195.0</v>
      </c>
      <c r="I25" s="105">
        <v>180.0</v>
      </c>
      <c r="J25" s="105">
        <v>165.0</v>
      </c>
      <c r="K25" s="105">
        <v>160.0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7.57"/>
    <col customWidth="1" min="2" max="2" width="118.43"/>
    <col customWidth="1" min="3" max="3" width="13.0"/>
    <col customWidth="1" min="4" max="5" width="11.29"/>
    <col customWidth="1" min="6" max="6" width="12.14"/>
    <col customWidth="1" min="8" max="8" width="9.29"/>
  </cols>
  <sheetData>
    <row r="1">
      <c r="A1" s="109"/>
      <c r="B1" s="109"/>
      <c r="C1" s="110"/>
      <c r="D1" s="110"/>
      <c r="E1" s="110"/>
      <c r="F1" s="110"/>
      <c r="G1" s="110"/>
      <c r="H1" s="110"/>
      <c r="I1" s="111"/>
      <c r="J1" s="111"/>
      <c r="K1" s="111"/>
      <c r="L1" s="111"/>
    </row>
    <row r="2">
      <c r="A2" s="109"/>
      <c r="B2" s="112" t="s">
        <v>53</v>
      </c>
      <c r="C2" s="110"/>
      <c r="D2" s="110"/>
      <c r="E2" s="110"/>
      <c r="F2" s="110"/>
      <c r="G2" s="110"/>
      <c r="H2" s="110"/>
      <c r="I2" s="111"/>
      <c r="J2" s="111"/>
      <c r="K2" s="111"/>
      <c r="L2" s="111"/>
    </row>
    <row r="3">
      <c r="A3" s="109"/>
      <c r="B3" s="109"/>
      <c r="C3" s="110" t="s">
        <v>54</v>
      </c>
      <c r="H3" s="110"/>
      <c r="I3" s="111"/>
      <c r="J3" s="111"/>
      <c r="K3" s="111"/>
      <c r="L3" s="111"/>
    </row>
    <row r="4">
      <c r="A4" s="113" t="s">
        <v>55</v>
      </c>
      <c r="B4" s="113" t="s">
        <v>56</v>
      </c>
      <c r="C4" s="114">
        <v>50.0</v>
      </c>
      <c r="D4" s="114">
        <v>100.0</v>
      </c>
      <c r="E4" s="114">
        <v>200.0</v>
      </c>
      <c r="F4" s="114">
        <v>300.0</v>
      </c>
      <c r="G4" s="114">
        <v>500.0</v>
      </c>
      <c r="H4" s="114">
        <v>1000.0</v>
      </c>
      <c r="I4" s="114">
        <v>2000.0</v>
      </c>
      <c r="J4" s="114">
        <v>3000.0</v>
      </c>
      <c r="K4" s="114">
        <v>5000.0</v>
      </c>
      <c r="L4" s="114">
        <v>6000.0</v>
      </c>
    </row>
    <row r="5">
      <c r="A5" s="115">
        <v>1.0</v>
      </c>
      <c r="B5" s="116" t="str">
        <f>IFERROR(__xludf.DUMMYFUNCTION("IMPORTRANGE(""1HkzfTg_x2lNlvG_oAmvAnugODRXnepM3bnsrF1TbIKU"", ""Папки и изделия экокожа!b33:j33"")"),"Обложка для паспорта искусственная кожа с полноцветной печатью, дополнительные отделения,135х195 мм")</f>
        <v>Обложка для паспорта искусственная кожа с полноцветной печатью, дополнительные отделения,135х195 мм</v>
      </c>
      <c r="C5" s="117">
        <f>IFERROR(__xludf.DUMMYFUNCTION("""COMPUTED_VALUE"""),310.0)</f>
        <v>310</v>
      </c>
      <c r="D5" s="117">
        <f>IFERROR(__xludf.DUMMYFUNCTION("""COMPUTED_VALUE"""),290.0)</f>
        <v>290</v>
      </c>
      <c r="E5" s="117">
        <f>IFERROR(__xludf.DUMMYFUNCTION("""COMPUTED_VALUE"""),270.0)</f>
        <v>270</v>
      </c>
      <c r="F5" s="117">
        <f>IFERROR(__xludf.DUMMYFUNCTION("""COMPUTED_VALUE"""),255.0)</f>
        <v>255</v>
      </c>
      <c r="G5" s="117">
        <f>IFERROR(__xludf.DUMMYFUNCTION("""COMPUTED_VALUE"""),240.0)</f>
        <v>240</v>
      </c>
      <c r="H5" s="106">
        <f>IFERROR(__xludf.DUMMYFUNCTION("""COMPUTED_VALUE"""),225.0)</f>
        <v>225</v>
      </c>
      <c r="I5" s="82">
        <f>IFERROR(__xludf.DUMMYFUNCTION("""COMPUTED_VALUE"""),210.0)</f>
        <v>210</v>
      </c>
      <c r="J5" s="82">
        <f>IFERROR(__xludf.DUMMYFUNCTION("""COMPUTED_VALUE"""),195.0)</f>
        <v>195</v>
      </c>
      <c r="K5" s="118">
        <v>190.0</v>
      </c>
      <c r="L5" s="118">
        <v>190.0</v>
      </c>
    </row>
    <row r="6">
      <c r="A6" s="119">
        <v>2.0</v>
      </c>
      <c r="B6" s="120" t="str">
        <f>IFERROR(__xludf.DUMMYFUNCTION("IMPORTRANGE(""1HkzfTg_x2lNlvG_oAmvAnugODRXnepM3bnsrF1TbIKU"", ""Папки и изделия экокожа!b44:j44"")"),"Органайзер для путешественника искусственная кожа с полноцветной печатью, дополнительные отделения, 98х215")</f>
        <v>Органайзер для путешественника искусственная кожа с полноцветной печатью, дополнительные отделения, 98х215</v>
      </c>
      <c r="C6" s="117">
        <f>IFERROR(__xludf.DUMMYFUNCTION("""COMPUTED_VALUE"""),345.0)</f>
        <v>345</v>
      </c>
      <c r="D6" s="117">
        <f>IFERROR(__xludf.DUMMYFUNCTION("""COMPUTED_VALUE"""),325.0)</f>
        <v>325</v>
      </c>
      <c r="E6" s="117">
        <f>IFERROR(__xludf.DUMMYFUNCTION("""COMPUTED_VALUE"""),305.0)</f>
        <v>305</v>
      </c>
      <c r="F6" s="117">
        <f>IFERROR(__xludf.DUMMYFUNCTION("""COMPUTED_VALUE"""),290.0)</f>
        <v>290</v>
      </c>
      <c r="G6" s="117">
        <f>IFERROR(__xludf.DUMMYFUNCTION("""COMPUTED_VALUE"""),275.0)</f>
        <v>275</v>
      </c>
      <c r="H6" s="106">
        <f>IFERROR(__xludf.DUMMYFUNCTION("""COMPUTED_VALUE"""),260.0)</f>
        <v>260</v>
      </c>
      <c r="I6" s="82">
        <f>IFERROR(__xludf.DUMMYFUNCTION("""COMPUTED_VALUE"""),245.0)</f>
        <v>245</v>
      </c>
      <c r="J6" s="82">
        <f>IFERROR(__xludf.DUMMYFUNCTION("""COMPUTED_VALUE"""),230.0)</f>
        <v>230</v>
      </c>
      <c r="K6" s="118">
        <v>225.0</v>
      </c>
      <c r="L6" s="118">
        <v>225.0</v>
      </c>
    </row>
    <row r="7">
      <c r="A7" s="119">
        <v>3.0</v>
      </c>
      <c r="B7" s="120" t="str">
        <f>IFERROR(__xludf.DUMMYFUNCTION("IMPORTRANGE(""1HkzfTg_x2lNlvG_oAmvAnugODRXnepM3bnsrF1TbIKU"", ""Чехлы и футляры экокожа!b25:k25"")"),"Чехол вертикальный для пластиковой карты с  RFID блокиратором, Экокожа с Флок подложкой, полноцветная печать")</f>
        <v>Чехол вертикальный для пластиковой карты с  RFID блокиратором, Экокожа с Флок подложкой, полноцветная печать</v>
      </c>
      <c r="C7" s="117">
        <f>IFERROR(__xludf.DUMMYFUNCTION("""COMPUTED_VALUE"""),135.0)</f>
        <v>135</v>
      </c>
      <c r="D7" s="117">
        <f>IFERROR(__xludf.DUMMYFUNCTION("""COMPUTED_VALUE"""),130.0)</f>
        <v>130</v>
      </c>
      <c r="E7" s="117">
        <f>IFERROR(__xludf.DUMMYFUNCTION("""COMPUTED_VALUE"""),120.0)</f>
        <v>120</v>
      </c>
      <c r="F7" s="117">
        <f>IFERROR(__xludf.DUMMYFUNCTION("""COMPUTED_VALUE"""),115.0)</f>
        <v>115</v>
      </c>
      <c r="G7" s="117">
        <f>IFERROR(__xludf.DUMMYFUNCTION("""COMPUTED_VALUE"""),105.0)</f>
        <v>105</v>
      </c>
      <c r="H7" s="106">
        <f>IFERROR(__xludf.DUMMYFUNCTION("""COMPUTED_VALUE"""),95.0)</f>
        <v>95</v>
      </c>
      <c r="I7" s="82">
        <f>IFERROR(__xludf.DUMMYFUNCTION("""COMPUTED_VALUE"""),90.0)</f>
        <v>90</v>
      </c>
      <c r="J7" s="82">
        <f>IFERROR(__xludf.DUMMYFUNCTION("""COMPUTED_VALUE"""),85.0)</f>
        <v>85</v>
      </c>
      <c r="K7" s="82">
        <f>IFERROR(__xludf.DUMMYFUNCTION("""COMPUTED_VALUE"""),80.0)</f>
        <v>80</v>
      </c>
      <c r="L7" s="118">
        <v>80.0</v>
      </c>
    </row>
    <row r="8">
      <c r="A8" s="115">
        <v>4.0</v>
      </c>
      <c r="B8" s="115" t="s">
        <v>57</v>
      </c>
      <c r="C8" s="82">
        <f t="shared" ref="C8:L8" si="1">(1000/C4+4.5)*1.35</f>
        <v>33.075</v>
      </c>
      <c r="D8" s="82">
        <f t="shared" si="1"/>
        <v>19.575</v>
      </c>
      <c r="E8" s="82">
        <f t="shared" si="1"/>
        <v>12.825</v>
      </c>
      <c r="F8" s="82">
        <f t="shared" si="1"/>
        <v>10.575</v>
      </c>
      <c r="G8" s="82">
        <f t="shared" si="1"/>
        <v>8.775</v>
      </c>
      <c r="H8" s="82">
        <f t="shared" si="1"/>
        <v>7.425</v>
      </c>
      <c r="I8" s="82">
        <f t="shared" si="1"/>
        <v>6.75</v>
      </c>
      <c r="J8" s="82">
        <f t="shared" si="1"/>
        <v>6.525</v>
      </c>
      <c r="K8" s="82">
        <f t="shared" si="1"/>
        <v>6.345</v>
      </c>
      <c r="L8" s="82">
        <f t="shared" si="1"/>
        <v>6.3</v>
      </c>
    </row>
    <row r="9">
      <c r="A9" s="119">
        <v>5.0</v>
      </c>
      <c r="B9" s="115" t="s">
        <v>58</v>
      </c>
      <c r="C9" s="121">
        <v>15.0</v>
      </c>
      <c r="D9" s="121">
        <v>15.0</v>
      </c>
      <c r="E9" s="121">
        <v>15.0</v>
      </c>
      <c r="F9" s="121">
        <v>15.0</v>
      </c>
      <c r="G9" s="121">
        <v>15.0</v>
      </c>
      <c r="H9" s="118">
        <v>15.0</v>
      </c>
      <c r="I9" s="118">
        <v>15.0</v>
      </c>
      <c r="J9" s="118">
        <v>15.0</v>
      </c>
      <c r="K9" s="118">
        <v>15.0</v>
      </c>
      <c r="L9" s="118">
        <v>15.0</v>
      </c>
    </row>
    <row r="10">
      <c r="A10" s="119">
        <v>6.0</v>
      </c>
      <c r="B10" s="115" t="s">
        <v>59</v>
      </c>
      <c r="C10" s="122">
        <f t="shared" ref="C10:D10" si="2">320*1.35</f>
        <v>432</v>
      </c>
      <c r="D10" s="122">
        <f t="shared" si="2"/>
        <v>432</v>
      </c>
      <c r="E10" s="122">
        <f t="shared" ref="E10:F10" si="3">300*1.35</f>
        <v>405</v>
      </c>
      <c r="F10" s="122">
        <f t="shared" si="3"/>
        <v>405</v>
      </c>
      <c r="G10" s="122">
        <f>290*1.35</f>
        <v>391.5</v>
      </c>
      <c r="H10" s="118">
        <v>390.0</v>
      </c>
      <c r="I10" s="118">
        <v>390.0</v>
      </c>
      <c r="J10" s="118">
        <v>390.0</v>
      </c>
      <c r="K10" s="118">
        <v>390.0</v>
      </c>
      <c r="L10" s="118">
        <v>390.0</v>
      </c>
    </row>
    <row r="11">
      <c r="A11" s="115">
        <v>7.0</v>
      </c>
      <c r="B11" s="115" t="s">
        <v>60</v>
      </c>
      <c r="C11" s="121">
        <v>10.0</v>
      </c>
      <c r="D11" s="121">
        <v>10.0</v>
      </c>
      <c r="E11" s="121">
        <v>10.0</v>
      </c>
      <c r="F11" s="121">
        <v>10.0</v>
      </c>
      <c r="G11" s="121">
        <v>10.0</v>
      </c>
      <c r="H11" s="118">
        <v>9.0</v>
      </c>
      <c r="I11" s="118">
        <v>9.0</v>
      </c>
      <c r="J11" s="118">
        <v>8.0</v>
      </c>
      <c r="K11" s="118">
        <v>8.0</v>
      </c>
      <c r="L11" s="118">
        <v>8.0</v>
      </c>
    </row>
    <row r="12">
      <c r="A12" s="111"/>
      <c r="B12" s="123" t="s">
        <v>61</v>
      </c>
      <c r="C12" s="124">
        <f t="shared" ref="C12:L12" si="4">SUM(C5:C11)</f>
        <v>1280.075</v>
      </c>
      <c r="D12" s="124">
        <f t="shared" si="4"/>
        <v>1221.575</v>
      </c>
      <c r="E12" s="124">
        <f t="shared" si="4"/>
        <v>1137.825</v>
      </c>
      <c r="F12" s="124">
        <f t="shared" si="4"/>
        <v>1100.575</v>
      </c>
      <c r="G12" s="124">
        <f t="shared" si="4"/>
        <v>1045.275</v>
      </c>
      <c r="H12" s="7">
        <f t="shared" si="4"/>
        <v>1001.425</v>
      </c>
      <c r="I12" s="7">
        <f t="shared" si="4"/>
        <v>965.75</v>
      </c>
      <c r="J12" s="7">
        <f t="shared" si="4"/>
        <v>929.525</v>
      </c>
      <c r="K12" s="7">
        <f t="shared" si="4"/>
        <v>914.345</v>
      </c>
      <c r="L12" s="7">
        <f t="shared" si="4"/>
        <v>914.3</v>
      </c>
    </row>
    <row r="1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</row>
    <row r="14">
      <c r="A14" s="111"/>
      <c r="B14" s="111"/>
      <c r="C14" s="110" t="s">
        <v>54</v>
      </c>
      <c r="H14" s="110"/>
      <c r="I14" s="111"/>
      <c r="J14" s="111"/>
      <c r="K14" s="111"/>
      <c r="L14" s="111"/>
    </row>
    <row r="15">
      <c r="A15" s="125" t="s">
        <v>55</v>
      </c>
      <c r="B15" s="113" t="s">
        <v>63</v>
      </c>
      <c r="C15" s="114">
        <v>50.0</v>
      </c>
      <c r="D15" s="114">
        <v>100.0</v>
      </c>
      <c r="E15" s="114">
        <v>200.0</v>
      </c>
      <c r="F15" s="114">
        <v>300.0</v>
      </c>
      <c r="G15" s="114">
        <v>500.0</v>
      </c>
      <c r="H15" s="114">
        <v>1000.0</v>
      </c>
      <c r="I15" s="114">
        <v>2000.0</v>
      </c>
      <c r="J15" s="114">
        <v>3000.0</v>
      </c>
      <c r="K15" s="114">
        <v>5000.0</v>
      </c>
      <c r="L15" s="114">
        <v>6000.0</v>
      </c>
    </row>
    <row r="16">
      <c r="A16" s="115">
        <v>1.0</v>
      </c>
      <c r="B16" s="116" t="str">
        <f>IFERROR(__xludf.DUMMYFUNCTION("IMPORTRANGE(""1HkzfTg_x2lNlvG_oAmvAnugODRXnepM3bnsrF1TbIKU"", ""Папки и изделия экокожа!b32:j32"")"),"Обложка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16" s="106">
        <f>IFERROR(__xludf.DUMMYFUNCTION("""COMPUTED_VALUE"""),260.0)</f>
        <v>260</v>
      </c>
      <c r="D16" s="106">
        <f>IFERROR(__xludf.DUMMYFUNCTION("""COMPUTED_VALUE"""),240.0)</f>
        <v>240</v>
      </c>
      <c r="E16" s="106">
        <f>IFERROR(__xludf.DUMMYFUNCTION("""COMPUTED_VALUE"""),220.0)</f>
        <v>220</v>
      </c>
      <c r="F16" s="106">
        <f>IFERROR(__xludf.DUMMYFUNCTION("""COMPUTED_VALUE"""),205.0)</f>
        <v>205</v>
      </c>
      <c r="G16" s="106">
        <f>IFERROR(__xludf.DUMMYFUNCTION("""COMPUTED_VALUE"""),190.0)</f>
        <v>190</v>
      </c>
      <c r="H16" s="106">
        <f>IFERROR(__xludf.DUMMYFUNCTION("""COMPUTED_VALUE"""),175.0)</f>
        <v>175</v>
      </c>
      <c r="I16" s="82">
        <f>IFERROR(__xludf.DUMMYFUNCTION("""COMPUTED_VALUE"""),160.0)</f>
        <v>160</v>
      </c>
      <c r="J16" s="82">
        <f>IFERROR(__xludf.DUMMYFUNCTION("""COMPUTED_VALUE"""),145.0)</f>
        <v>145</v>
      </c>
      <c r="K16" s="118">
        <v>140.0</v>
      </c>
      <c r="L16" s="118">
        <v>140.0</v>
      </c>
    </row>
    <row r="17">
      <c r="A17" s="119">
        <v>2.0</v>
      </c>
      <c r="B17" s="120" t="str">
        <f>IFERROR(__xludf.DUMMYFUNCTION("IMPORTRANGE(""1HkzfTg_x2lNlvG_oAmvAnugODRXnepM3bnsrF1TbIKU"", ""Папки и изделия экокожа!b43:j43"")"),"Органайзер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17" s="106">
        <f>IFERROR(__xludf.DUMMYFUNCTION("""COMPUTED_VALUE"""),295.0)</f>
        <v>295</v>
      </c>
      <c r="D17" s="106">
        <f>IFERROR(__xludf.DUMMYFUNCTION("""COMPUTED_VALUE"""),275.0)</f>
        <v>275</v>
      </c>
      <c r="E17" s="106">
        <f>IFERROR(__xludf.DUMMYFUNCTION("""COMPUTED_VALUE"""),255.0)</f>
        <v>255</v>
      </c>
      <c r="F17" s="106">
        <f>IFERROR(__xludf.DUMMYFUNCTION("""COMPUTED_VALUE"""),240.0)</f>
        <v>240</v>
      </c>
      <c r="G17" s="106">
        <f>IFERROR(__xludf.DUMMYFUNCTION("""COMPUTED_VALUE"""),225.0)</f>
        <v>225</v>
      </c>
      <c r="H17" s="106">
        <f>IFERROR(__xludf.DUMMYFUNCTION("""COMPUTED_VALUE"""),210.0)</f>
        <v>210</v>
      </c>
      <c r="I17" s="82">
        <f>IFERROR(__xludf.DUMMYFUNCTION("""COMPUTED_VALUE"""),195.0)</f>
        <v>195</v>
      </c>
      <c r="J17" s="82">
        <f>IFERROR(__xludf.DUMMYFUNCTION("""COMPUTED_VALUE"""),180.0)</f>
        <v>180</v>
      </c>
      <c r="K17" s="127">
        <v>175.0</v>
      </c>
      <c r="L17" s="127">
        <v>175.0</v>
      </c>
    </row>
    <row r="18">
      <c r="A18" s="119">
        <v>3.0</v>
      </c>
      <c r="B18" s="120" t="str">
        <f>IFERROR(__xludf.DUMMYFUNCTION("IMPORTRANGE(""1HkzfTg_x2lNlvG_oAmvAnugODRXnepM3bnsrF1TbIKU"", ""Чехлы и футляры экокожа!b14:j14"")"),"Чехол вертикальный для пластиковой карты с  RFID блокиратором, Экокожа с Флок подложкой и персонализацией")</f>
        <v>Чехол вертикальный для пластиковой карты с  RFID блокиратором, Экокожа с Флок подложкой и персонализацией</v>
      </c>
      <c r="C18" s="106">
        <f>IFERROR(__xludf.DUMMYFUNCTION("""COMPUTED_VALUE"""),120.0)</f>
        <v>120</v>
      </c>
      <c r="D18" s="106">
        <f>IFERROR(__xludf.DUMMYFUNCTION("""COMPUTED_VALUE"""),110.0)</f>
        <v>110</v>
      </c>
      <c r="E18" s="106">
        <f>IFERROR(__xludf.DUMMYFUNCTION("""COMPUTED_VALUE"""),105.0)</f>
        <v>105</v>
      </c>
      <c r="F18" s="106">
        <f>IFERROR(__xludf.DUMMYFUNCTION("""COMPUTED_VALUE"""),100.0)</f>
        <v>100</v>
      </c>
      <c r="G18" s="106">
        <f>IFERROR(__xludf.DUMMYFUNCTION("""COMPUTED_VALUE"""),90.0)</f>
        <v>90</v>
      </c>
      <c r="H18" s="106">
        <f>IFERROR(__xludf.DUMMYFUNCTION("""COMPUTED_VALUE"""),80.0)</f>
        <v>80</v>
      </c>
      <c r="I18" s="82">
        <f>IFERROR(__xludf.DUMMYFUNCTION("""COMPUTED_VALUE"""),75.0)</f>
        <v>75</v>
      </c>
      <c r="J18" s="82">
        <f>IFERROR(__xludf.DUMMYFUNCTION("""COMPUTED_VALUE"""),70.0)</f>
        <v>70</v>
      </c>
      <c r="K18" s="129">
        <v>70.0</v>
      </c>
      <c r="L18" s="129">
        <v>70.0</v>
      </c>
    </row>
    <row r="19">
      <c r="A19" s="115">
        <v>4.0</v>
      </c>
      <c r="B19" s="115" t="s">
        <v>57</v>
      </c>
      <c r="C19" s="82">
        <f t="shared" ref="C19:L19" si="5">(1000/C15+4.5)*1.35</f>
        <v>33.075</v>
      </c>
      <c r="D19" s="82">
        <f t="shared" si="5"/>
        <v>19.575</v>
      </c>
      <c r="E19" s="82">
        <f t="shared" si="5"/>
        <v>12.825</v>
      </c>
      <c r="F19" s="82">
        <f t="shared" si="5"/>
        <v>10.575</v>
      </c>
      <c r="G19" s="82">
        <f t="shared" si="5"/>
        <v>8.775</v>
      </c>
      <c r="H19" s="82">
        <f t="shared" si="5"/>
        <v>7.425</v>
      </c>
      <c r="I19" s="82">
        <f t="shared" si="5"/>
        <v>6.75</v>
      </c>
      <c r="J19" s="82">
        <f t="shared" si="5"/>
        <v>6.525</v>
      </c>
      <c r="K19" s="82">
        <f t="shared" si="5"/>
        <v>6.345</v>
      </c>
      <c r="L19" s="82">
        <f t="shared" si="5"/>
        <v>6.3</v>
      </c>
    </row>
    <row r="20">
      <c r="A20" s="119">
        <v>5.0</v>
      </c>
      <c r="B20" s="115" t="s">
        <v>58</v>
      </c>
      <c r="C20" s="121">
        <v>15.0</v>
      </c>
      <c r="D20" s="121">
        <v>15.0</v>
      </c>
      <c r="E20" s="121">
        <v>15.0</v>
      </c>
      <c r="F20" s="121">
        <v>15.0</v>
      </c>
      <c r="G20" s="121">
        <v>15.0</v>
      </c>
      <c r="H20" s="121">
        <v>15.0</v>
      </c>
      <c r="I20" s="118">
        <v>15.0</v>
      </c>
      <c r="J20" s="118">
        <v>15.0</v>
      </c>
      <c r="K20" s="118">
        <v>15.0</v>
      </c>
      <c r="L20" s="118">
        <v>15.0</v>
      </c>
    </row>
    <row r="21">
      <c r="A21" s="119">
        <v>6.0</v>
      </c>
      <c r="B21" s="115" t="s">
        <v>59</v>
      </c>
      <c r="C21" s="122">
        <f t="shared" ref="C21:D21" si="6">320*1.35</f>
        <v>432</v>
      </c>
      <c r="D21" s="122">
        <f t="shared" si="6"/>
        <v>432</v>
      </c>
      <c r="E21" s="122">
        <f t="shared" ref="E21:F21" si="7">300*1.35</f>
        <v>405</v>
      </c>
      <c r="F21" s="122">
        <f t="shared" si="7"/>
        <v>405</v>
      </c>
      <c r="G21" s="122">
        <f>290*1.35</f>
        <v>391.5</v>
      </c>
      <c r="H21" s="118">
        <v>390.0</v>
      </c>
      <c r="I21" s="118">
        <v>390.0</v>
      </c>
      <c r="J21" s="118">
        <v>390.0</v>
      </c>
      <c r="K21" s="118">
        <v>390.0</v>
      </c>
      <c r="L21" s="118">
        <v>390.0</v>
      </c>
    </row>
    <row r="22">
      <c r="A22" s="115">
        <v>7.0</v>
      </c>
      <c r="B22" s="115" t="s">
        <v>60</v>
      </c>
      <c r="C22" s="121">
        <v>10.0</v>
      </c>
      <c r="D22" s="121">
        <v>10.0</v>
      </c>
      <c r="E22" s="121">
        <v>10.0</v>
      </c>
      <c r="F22" s="121">
        <v>10.0</v>
      </c>
      <c r="G22" s="121">
        <v>10.0</v>
      </c>
      <c r="H22" s="118">
        <v>9.0</v>
      </c>
      <c r="I22" s="118">
        <v>9.0</v>
      </c>
      <c r="J22" s="118">
        <v>8.0</v>
      </c>
      <c r="K22" s="118">
        <v>8.0</v>
      </c>
      <c r="L22" s="118">
        <v>8.0</v>
      </c>
    </row>
    <row r="23">
      <c r="A23" s="111"/>
      <c r="B23" s="123" t="s">
        <v>61</v>
      </c>
      <c r="C23" s="7">
        <f t="shared" ref="C23:L23" si="8">SUM(C16:C22)</f>
        <v>1165.075</v>
      </c>
      <c r="D23" s="7">
        <f t="shared" si="8"/>
        <v>1101.575</v>
      </c>
      <c r="E23" s="7">
        <f t="shared" si="8"/>
        <v>1022.825</v>
      </c>
      <c r="F23" s="7">
        <f t="shared" si="8"/>
        <v>985.575</v>
      </c>
      <c r="G23" s="7">
        <f t="shared" si="8"/>
        <v>930.275</v>
      </c>
      <c r="H23" s="7">
        <f t="shared" si="8"/>
        <v>886.425</v>
      </c>
      <c r="I23" s="7">
        <f t="shared" si="8"/>
        <v>850.75</v>
      </c>
      <c r="J23" s="7">
        <f t="shared" si="8"/>
        <v>814.525</v>
      </c>
      <c r="K23" s="7">
        <f t="shared" si="8"/>
        <v>804.345</v>
      </c>
      <c r="L23" s="7">
        <f t="shared" si="8"/>
        <v>804.3</v>
      </c>
    </row>
    <row r="24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</row>
    <row r="25">
      <c r="A25" s="132" t="str">
        <f>IFERROR(__xludf.DUMMYFUNCTION("IMPORTRANGE(""1HkzfTg_x2lNlvG_oAmvAnugODRXnepM3bnsrF1TbIKU"", ""Папки и изделия из ПВХ!a107:f108"")"),"")</f>
        <v/>
      </c>
      <c r="B25" s="133" t="str">
        <f>IFERROR(__xludf.DUMMYFUNCTION("""COMPUTED_VALUE"""),"Штампы для тиснение")</f>
        <v>Штампы для тиснение</v>
      </c>
      <c r="C25" s="60" t="str">
        <f>IFERROR(__xludf.DUMMYFUNCTION("""COMPUTED_VALUE"""),"До 50х40 мм (Размер 1)")</f>
        <v>До 50х40 мм (Размер 1)</v>
      </c>
      <c r="D25" s="60" t="str">
        <f>IFERROR(__xludf.DUMMYFUNCTION("""COMPUTED_VALUE"""),"До 100х80 (Размер 2)")</f>
        <v>До 100х80 (Размер 2)</v>
      </c>
      <c r="E25" s="60" t="str">
        <f>IFERROR(__xludf.DUMMYFUNCTION("""COMPUTED_VALUE"""),"До 150х120 (Размер 3)")</f>
        <v>До 150х120 (Размер 3)</v>
      </c>
      <c r="F25" s="60" t="str">
        <f>IFERROR(__xludf.DUMMYFUNCTION("""COMPUTED_VALUE"""),"До 200х160 (Размер 4)")</f>
        <v>До 200х160 (Размер 4)</v>
      </c>
      <c r="G25" s="111"/>
      <c r="H25" s="111"/>
      <c r="I25" s="111"/>
      <c r="J25" s="111"/>
      <c r="K25" s="111"/>
      <c r="L25" s="111"/>
    </row>
    <row r="26">
      <c r="A26" s="135" t="str">
        <f>IFERROR(__xludf.DUMMYFUNCTION("""COMPUTED_VALUE"""),"ШТ-1 (2, 3, 4)")</f>
        <v>ШТ-1 (2, 3, 4)</v>
      </c>
      <c r="B26" s="137" t="str">
        <f>IFERROR(__xludf.DUMMYFUNCTION("""COMPUTED_VALUE"""),"Штамп для тиснения")</f>
        <v>Штамп для тиснения</v>
      </c>
      <c r="C26" s="137" t="str">
        <f>IFERROR(__xludf.DUMMYFUNCTION("""COMPUTED_VALUE"""),"3000 руб")</f>
        <v>3000 руб</v>
      </c>
      <c r="D26" s="137" t="str">
        <f>IFERROR(__xludf.DUMMYFUNCTION("""COMPUTED_VALUE"""),"6000 руб")</f>
        <v>6000 руб</v>
      </c>
      <c r="E26" s="137" t="str">
        <f>IFERROR(__xludf.DUMMYFUNCTION("""COMPUTED_VALUE"""),"12000 руб")</f>
        <v>12000 руб</v>
      </c>
      <c r="F26" s="137" t="str">
        <f>IFERROR(__xludf.DUMMYFUNCTION("""COMPUTED_VALUE"""),"20000 руб")</f>
        <v>20000 руб</v>
      </c>
      <c r="G26" s="111"/>
      <c r="H26" s="111"/>
      <c r="I26" s="111"/>
      <c r="J26" s="111"/>
      <c r="K26" s="111"/>
      <c r="L26" s="111"/>
    </row>
    <row r="27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>
      <c r="A28" s="111"/>
      <c r="B28" s="139"/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>
      <c r="A29" s="140"/>
      <c r="B29" s="142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>
      <c r="A30" s="111"/>
      <c r="B30" s="143"/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>
      <c r="A31" s="111"/>
      <c r="B31" s="145" t="s">
        <v>68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</row>
    <row r="32">
      <c r="A32" s="111"/>
      <c r="B32" s="111"/>
      <c r="C32" s="110" t="s">
        <v>54</v>
      </c>
      <c r="H32" s="110"/>
      <c r="I32" s="111"/>
      <c r="J32" s="111"/>
      <c r="K32" s="111"/>
      <c r="L32" s="111"/>
    </row>
    <row r="33">
      <c r="A33" s="113" t="s">
        <v>55</v>
      </c>
      <c r="B33" s="113" t="s">
        <v>70</v>
      </c>
      <c r="C33" s="114">
        <v>50.0</v>
      </c>
      <c r="D33" s="114">
        <v>100.0</v>
      </c>
      <c r="E33" s="114">
        <v>200.0</v>
      </c>
      <c r="F33" s="114">
        <v>300.0</v>
      </c>
      <c r="G33" s="114">
        <v>500.0</v>
      </c>
      <c r="H33" s="146"/>
      <c r="L33" s="111"/>
    </row>
    <row r="34">
      <c r="A34" s="115">
        <v>1.0</v>
      </c>
      <c r="B34" s="116" t="str">
        <f t="shared" ref="B34:B37" si="9">IFERROR(__xludf.DUMMYFUNCTION("IMPORTRANGE(""1HkzfTg_x2lNlvG_oAmvAnugODRXnepM3bnsrF1TbIKU"", ""Папки и изделия экокожа!b48:g48"")"),"")</f>
        <v/>
      </c>
      <c r="C34" s="147" t="str">
        <f>IFERROR(__xludf.DUMMYFUNCTION("""COMPUTED_VALUE"""),"50 шт")</f>
        <v>50 шт</v>
      </c>
      <c r="D34" s="147" t="str">
        <f>IFERROR(__xludf.DUMMYFUNCTION("""COMPUTED_VALUE"""),"100 шт")</f>
        <v>100 шт</v>
      </c>
      <c r="E34" s="147" t="str">
        <f>IFERROR(__xludf.DUMMYFUNCTION("""COMPUTED_VALUE"""),"200 шт")</f>
        <v>200 шт</v>
      </c>
      <c r="F34" s="147" t="str">
        <f>IFERROR(__xludf.DUMMYFUNCTION("""COMPUTED_VALUE"""),"300 шт")</f>
        <v>300 шт</v>
      </c>
      <c r="G34" s="147" t="str">
        <f>IFERROR(__xludf.DUMMYFUNCTION("""COMPUTED_VALUE"""),"500 шт")</f>
        <v>500 шт</v>
      </c>
      <c r="H34" s="62"/>
      <c r="L34" s="111"/>
    </row>
    <row r="35">
      <c r="A35" s="119">
        <v>2.0</v>
      </c>
      <c r="B35" s="116" t="str">
        <f t="shared" si="9"/>
        <v/>
      </c>
      <c r="C35" s="147" t="str">
        <f>IFERROR(__xludf.DUMMYFUNCTION("""COMPUTED_VALUE"""),"50 шт")</f>
        <v>50 шт</v>
      </c>
      <c r="D35" s="147" t="str">
        <f>IFERROR(__xludf.DUMMYFUNCTION("""COMPUTED_VALUE"""),"100 шт")</f>
        <v>100 шт</v>
      </c>
      <c r="E35" s="147" t="str">
        <f>IFERROR(__xludf.DUMMYFUNCTION("""COMPUTED_VALUE"""),"200 шт")</f>
        <v>200 шт</v>
      </c>
      <c r="F35" s="147" t="str">
        <f>IFERROR(__xludf.DUMMYFUNCTION("""COMPUTED_VALUE"""),"300 шт")</f>
        <v>300 шт</v>
      </c>
      <c r="G35" s="147" t="str">
        <f>IFERROR(__xludf.DUMMYFUNCTION("""COMPUTED_VALUE"""),"500 шт")</f>
        <v>500 шт</v>
      </c>
      <c r="H35" s="62"/>
      <c r="L35" s="111"/>
    </row>
    <row r="36">
      <c r="A36" s="119">
        <v>3.0</v>
      </c>
      <c r="B36" s="116" t="str">
        <f t="shared" si="9"/>
        <v/>
      </c>
      <c r="C36" s="147" t="str">
        <f>IFERROR(__xludf.DUMMYFUNCTION("""COMPUTED_VALUE"""),"50 шт")</f>
        <v>50 шт</v>
      </c>
      <c r="D36" s="147" t="str">
        <f>IFERROR(__xludf.DUMMYFUNCTION("""COMPUTED_VALUE"""),"100 шт")</f>
        <v>100 шт</v>
      </c>
      <c r="E36" s="147" t="str">
        <f>IFERROR(__xludf.DUMMYFUNCTION("""COMPUTED_VALUE"""),"200 шт")</f>
        <v>200 шт</v>
      </c>
      <c r="F36" s="147" t="str">
        <f>IFERROR(__xludf.DUMMYFUNCTION("""COMPUTED_VALUE"""),"300 шт")</f>
        <v>300 шт</v>
      </c>
      <c r="G36" s="147" t="str">
        <f>IFERROR(__xludf.DUMMYFUNCTION("""COMPUTED_VALUE"""),"500 шт")</f>
        <v>500 шт</v>
      </c>
      <c r="H36" s="62"/>
      <c r="L36" s="111"/>
    </row>
    <row r="37">
      <c r="A37" s="115">
        <v>4.0</v>
      </c>
      <c r="B37" s="116" t="str">
        <f t="shared" si="9"/>
        <v/>
      </c>
      <c r="C37" s="147" t="str">
        <f>IFERROR(__xludf.DUMMYFUNCTION("""COMPUTED_VALUE"""),"50 шт")</f>
        <v>50 шт</v>
      </c>
      <c r="D37" s="147" t="str">
        <f>IFERROR(__xludf.DUMMYFUNCTION("""COMPUTED_VALUE"""),"100 шт")</f>
        <v>100 шт</v>
      </c>
      <c r="E37" s="147" t="str">
        <f>IFERROR(__xludf.DUMMYFUNCTION("""COMPUTED_VALUE"""),"200 шт")</f>
        <v>200 шт</v>
      </c>
      <c r="F37" s="147" t="str">
        <f>IFERROR(__xludf.DUMMYFUNCTION("""COMPUTED_VALUE"""),"300 шт")</f>
        <v>300 шт</v>
      </c>
      <c r="G37" s="147" t="str">
        <f>IFERROR(__xludf.DUMMYFUNCTION("""COMPUTED_VALUE"""),"500 шт")</f>
        <v>500 шт</v>
      </c>
      <c r="H37" s="62"/>
      <c r="L37" s="111"/>
    </row>
    <row r="38">
      <c r="A38" s="119">
        <v>5.0</v>
      </c>
      <c r="B38" s="126" t="str">
        <f>IFERROR(__xludf.DUMMYFUNCTION("IMPORTRANGE(""1HkzfTg_x2lNlvG_oAmvAnugODRXnepM3bnsrF1TbIKU"", ""Папки и изделия экокожа!b45:g45"")"),"Органайзер для путешественника семейный искусственная кожа с персонализацией, дополнительные отделения, 150х230")</f>
        <v>Органайзер для путешественника семейный искусственная кожа с персонализацией, дополнительные отделения, 150х230</v>
      </c>
      <c r="C38" s="147">
        <f>IFERROR(__xludf.DUMMYFUNCTION("""COMPUTED_VALUE"""),550.0)</f>
        <v>550</v>
      </c>
      <c r="D38" s="147">
        <f>IFERROR(__xludf.DUMMYFUNCTION("""COMPUTED_VALUE"""),510.0)</f>
        <v>510</v>
      </c>
      <c r="E38" s="147">
        <f>IFERROR(__xludf.DUMMYFUNCTION("""COMPUTED_VALUE"""),460.0)</f>
        <v>460</v>
      </c>
      <c r="F38" s="147">
        <f>IFERROR(__xludf.DUMMYFUNCTION("""COMPUTED_VALUE"""),410.0)</f>
        <v>410</v>
      </c>
      <c r="G38" s="147">
        <f>IFERROR(__xludf.DUMMYFUNCTION("""COMPUTED_VALUE"""),390.0)</f>
        <v>390</v>
      </c>
      <c r="H38" s="62"/>
      <c r="L38" s="111"/>
    </row>
    <row r="39">
      <c r="A39" s="119">
        <v>6.0</v>
      </c>
      <c r="B39" s="115" t="s">
        <v>57</v>
      </c>
      <c r="C39" s="82">
        <f t="shared" ref="C39:G39" si="10">(1000/C33+4.5)*1.35</f>
        <v>33.075</v>
      </c>
      <c r="D39" s="82">
        <f t="shared" si="10"/>
        <v>19.575</v>
      </c>
      <c r="E39" s="82">
        <f t="shared" si="10"/>
        <v>12.825</v>
      </c>
      <c r="F39" s="82">
        <f t="shared" si="10"/>
        <v>10.575</v>
      </c>
      <c r="G39" s="82">
        <f t="shared" si="10"/>
        <v>8.775</v>
      </c>
      <c r="H39" s="7"/>
      <c r="L39" s="111"/>
    </row>
    <row r="40">
      <c r="A40" s="115">
        <v>7.0</v>
      </c>
      <c r="B40" s="115" t="s">
        <v>58</v>
      </c>
      <c r="C40" s="118">
        <v>25.0</v>
      </c>
      <c r="D40" s="118">
        <v>25.0</v>
      </c>
      <c r="E40" s="118">
        <v>25.0</v>
      </c>
      <c r="F40" s="118">
        <v>25.0</v>
      </c>
      <c r="G40" s="118">
        <v>25.0</v>
      </c>
      <c r="H40" s="153"/>
      <c r="L40" s="111"/>
    </row>
    <row r="41">
      <c r="A41" s="119">
        <v>8.0</v>
      </c>
      <c r="B41" s="115" t="s">
        <v>59</v>
      </c>
      <c r="C41" s="82">
        <f t="shared" ref="C41:D41" si="11">420*1.35</f>
        <v>567</v>
      </c>
      <c r="D41" s="82">
        <f t="shared" si="11"/>
        <v>567</v>
      </c>
      <c r="E41" s="82">
        <f t="shared" ref="E41:F41" si="12">395*1.35</f>
        <v>533.25</v>
      </c>
      <c r="F41" s="82">
        <f t="shared" si="12"/>
        <v>533.25</v>
      </c>
      <c r="G41" s="82">
        <f>380*1.35</f>
        <v>513</v>
      </c>
      <c r="H41" s="7"/>
      <c r="L41" s="111"/>
    </row>
    <row r="42">
      <c r="A42" s="119">
        <v>9.0</v>
      </c>
      <c r="B42" s="115" t="s">
        <v>60</v>
      </c>
      <c r="C42" s="118">
        <v>10.0</v>
      </c>
      <c r="D42" s="118">
        <v>10.0</v>
      </c>
      <c r="E42" s="118">
        <v>10.0</v>
      </c>
      <c r="F42" s="118">
        <v>10.0</v>
      </c>
      <c r="G42" s="118">
        <v>10.0</v>
      </c>
      <c r="H42" s="153"/>
      <c r="L42" s="111"/>
    </row>
    <row r="43">
      <c r="A43" s="111"/>
      <c r="B43" s="123" t="s">
        <v>61</v>
      </c>
      <c r="C43" s="7">
        <f t="shared" ref="C43:G43" si="13">SUM(C34:C42)</f>
        <v>1185.075</v>
      </c>
      <c r="D43" s="7">
        <f t="shared" si="13"/>
        <v>1131.575</v>
      </c>
      <c r="E43" s="7">
        <f t="shared" si="13"/>
        <v>1041.075</v>
      </c>
      <c r="F43" s="7">
        <f t="shared" si="13"/>
        <v>988.825</v>
      </c>
      <c r="G43" s="7">
        <f t="shared" si="13"/>
        <v>946.775</v>
      </c>
      <c r="H43" s="111"/>
      <c r="L43" s="111"/>
    </row>
    <row r="44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</row>
    <row r="4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</row>
    <row r="46">
      <c r="A46" s="113" t="s">
        <v>55</v>
      </c>
      <c r="B46" s="113" t="s">
        <v>72</v>
      </c>
      <c r="C46" s="114">
        <v>50.0</v>
      </c>
      <c r="D46" s="114">
        <v>100.0</v>
      </c>
      <c r="E46" s="114">
        <v>200.0</v>
      </c>
      <c r="F46" s="114">
        <v>300.0</v>
      </c>
      <c r="G46" s="114">
        <v>500.0</v>
      </c>
      <c r="H46" s="146"/>
      <c r="I46" s="154"/>
    </row>
    <row r="47">
      <c r="A47" s="115">
        <v>1.0</v>
      </c>
      <c r="B47" s="116" t="str">
        <f t="shared" ref="B47:B50" si="14">IFERROR(__xludf.DUMMYFUNCTION("IMPORTRANGE(""1HkzfTg_x2lNlvG_oAmvAnugODRXnepM3bnsrF1TbIKU"", ""Папки и изделия экокожа!b49:g49"")"),"Багажная бирка искусственная кожа с персонализацией")</f>
        <v>Багажная бирка искусственная кожа с персонализацией</v>
      </c>
      <c r="C47" s="106">
        <f>IFERROR(__xludf.DUMMYFUNCTION("""COMPUTED_VALUE"""),130.0)</f>
        <v>130</v>
      </c>
      <c r="D47" s="106">
        <f>IFERROR(__xludf.DUMMYFUNCTION("""COMPUTED_VALUE"""),125.0)</f>
        <v>125</v>
      </c>
      <c r="E47" s="106">
        <f>IFERROR(__xludf.DUMMYFUNCTION("""COMPUTED_VALUE"""),120.0)</f>
        <v>120</v>
      </c>
      <c r="F47" s="106">
        <f>IFERROR(__xludf.DUMMYFUNCTION("""COMPUTED_VALUE"""),115.0)</f>
        <v>115</v>
      </c>
      <c r="G47" s="106">
        <f>IFERROR(__xludf.DUMMYFUNCTION("""COMPUTED_VALUE"""),105.0)</f>
        <v>105</v>
      </c>
      <c r="H47" s="62"/>
    </row>
    <row r="48">
      <c r="A48" s="119">
        <v>2.0</v>
      </c>
      <c r="B48" s="116" t="str">
        <f t="shared" si="14"/>
        <v>Багажная бирка искусственная кожа с персонализацией</v>
      </c>
      <c r="C48" s="106">
        <f>IFERROR(__xludf.DUMMYFUNCTION("""COMPUTED_VALUE"""),130.0)</f>
        <v>130</v>
      </c>
      <c r="D48" s="106">
        <f>IFERROR(__xludf.DUMMYFUNCTION("""COMPUTED_VALUE"""),125.0)</f>
        <v>125</v>
      </c>
      <c r="E48" s="106">
        <f>IFERROR(__xludf.DUMMYFUNCTION("""COMPUTED_VALUE"""),120.0)</f>
        <v>120</v>
      </c>
      <c r="F48" s="106">
        <f>IFERROR(__xludf.DUMMYFUNCTION("""COMPUTED_VALUE"""),115.0)</f>
        <v>115</v>
      </c>
      <c r="G48" s="106">
        <f>IFERROR(__xludf.DUMMYFUNCTION("""COMPUTED_VALUE"""),105.0)</f>
        <v>105</v>
      </c>
      <c r="H48" s="62"/>
    </row>
    <row r="49">
      <c r="A49" s="119">
        <v>3.0</v>
      </c>
      <c r="B49" s="116" t="str">
        <f t="shared" si="14"/>
        <v>Багажная бирка искусственная кожа с персонализацией</v>
      </c>
      <c r="C49" s="106">
        <f>IFERROR(__xludf.DUMMYFUNCTION("""COMPUTED_VALUE"""),130.0)</f>
        <v>130</v>
      </c>
      <c r="D49" s="106">
        <f>IFERROR(__xludf.DUMMYFUNCTION("""COMPUTED_VALUE"""),125.0)</f>
        <v>125</v>
      </c>
      <c r="E49" s="106">
        <f>IFERROR(__xludf.DUMMYFUNCTION("""COMPUTED_VALUE"""),120.0)</f>
        <v>120</v>
      </c>
      <c r="F49" s="106">
        <f>IFERROR(__xludf.DUMMYFUNCTION("""COMPUTED_VALUE"""),115.0)</f>
        <v>115</v>
      </c>
      <c r="G49" s="106">
        <f>IFERROR(__xludf.DUMMYFUNCTION("""COMPUTED_VALUE"""),105.0)</f>
        <v>105</v>
      </c>
      <c r="H49" s="62"/>
    </row>
    <row r="50">
      <c r="A50" s="115">
        <v>4.0</v>
      </c>
      <c r="B50" s="116" t="str">
        <f t="shared" si="14"/>
        <v>Багажная бирка искусственная кожа с персонализацией</v>
      </c>
      <c r="C50" s="106">
        <f>IFERROR(__xludf.DUMMYFUNCTION("""COMPUTED_VALUE"""),130.0)</f>
        <v>130</v>
      </c>
      <c r="D50" s="106">
        <f>IFERROR(__xludf.DUMMYFUNCTION("""COMPUTED_VALUE"""),125.0)</f>
        <v>125</v>
      </c>
      <c r="E50" s="106">
        <f>IFERROR(__xludf.DUMMYFUNCTION("""COMPUTED_VALUE"""),120.0)</f>
        <v>120</v>
      </c>
      <c r="F50" s="106">
        <f>IFERROR(__xludf.DUMMYFUNCTION("""COMPUTED_VALUE"""),115.0)</f>
        <v>115</v>
      </c>
      <c r="G50" s="106">
        <f>IFERROR(__xludf.DUMMYFUNCTION("""COMPUTED_VALUE"""),105.0)</f>
        <v>105</v>
      </c>
      <c r="H50" s="62"/>
    </row>
    <row r="51">
      <c r="A51" s="119">
        <v>5.0</v>
      </c>
      <c r="B51" s="126" t="str">
        <f>IFERROR(__xludf.DUMMYFUNCTION("IMPORTRANGE(""1HkzfTg_x2lNlvG_oAmvAnugODRXnepM3bnsrF1TbIKU"", ""Папки и изделия экокожа!b46:g46"")"),"Органайзер для путешественника семейный искусственная кожа с полноцветной печатью, дополнительные отделения, 150х230")</f>
        <v>Органайзер для путешественника семейный искусственная кожа с полноцветной печатью, дополнительные отделения, 150х230</v>
      </c>
      <c r="C51" s="106">
        <f>IFERROR(__xludf.DUMMYFUNCTION("""COMPUTED_VALUE"""),620.0)</f>
        <v>620</v>
      </c>
      <c r="D51" s="106">
        <f>IFERROR(__xludf.DUMMYFUNCTION("""COMPUTED_VALUE"""),580.0)</f>
        <v>580</v>
      </c>
      <c r="E51" s="106">
        <f>IFERROR(__xludf.DUMMYFUNCTION("""COMPUTED_VALUE"""),530.0)</f>
        <v>530</v>
      </c>
      <c r="F51" s="106">
        <f>IFERROR(__xludf.DUMMYFUNCTION("""COMPUTED_VALUE"""),480.0)</f>
        <v>480</v>
      </c>
      <c r="G51" s="106">
        <f>IFERROR(__xludf.DUMMYFUNCTION("""COMPUTED_VALUE"""),460.0)</f>
        <v>460</v>
      </c>
      <c r="H51" s="62"/>
    </row>
    <row r="52">
      <c r="A52" s="119">
        <v>6.0</v>
      </c>
      <c r="B52" s="115" t="s">
        <v>57</v>
      </c>
      <c r="C52" s="82">
        <f t="shared" ref="C52:G52" si="15">(1000/C46+4.5)*1.35</f>
        <v>33.075</v>
      </c>
      <c r="D52" s="82">
        <f t="shared" si="15"/>
        <v>19.575</v>
      </c>
      <c r="E52" s="82">
        <f t="shared" si="15"/>
        <v>12.825</v>
      </c>
      <c r="F52" s="82">
        <f t="shared" si="15"/>
        <v>10.575</v>
      </c>
      <c r="G52" s="82">
        <f t="shared" si="15"/>
        <v>8.775</v>
      </c>
      <c r="H52" s="7"/>
    </row>
    <row r="53">
      <c r="A53" s="115">
        <v>7.0</v>
      </c>
      <c r="B53" s="115" t="s">
        <v>58</v>
      </c>
      <c r="C53" s="118">
        <v>25.0</v>
      </c>
      <c r="D53" s="118">
        <v>25.0</v>
      </c>
      <c r="E53" s="118">
        <v>25.0</v>
      </c>
      <c r="F53" s="118">
        <v>25.0</v>
      </c>
      <c r="G53" s="118">
        <v>25.0</v>
      </c>
      <c r="H53" s="153"/>
    </row>
    <row r="54">
      <c r="A54" s="119">
        <v>8.0</v>
      </c>
      <c r="B54" s="115" t="s">
        <v>59</v>
      </c>
      <c r="C54" s="82">
        <f t="shared" ref="C54:D54" si="16">420*1.35</f>
        <v>567</v>
      </c>
      <c r="D54" s="82">
        <f t="shared" si="16"/>
        <v>567</v>
      </c>
      <c r="E54" s="82">
        <f t="shared" ref="E54:F54" si="17">395*1.35</f>
        <v>533.25</v>
      </c>
      <c r="F54" s="82">
        <f t="shared" si="17"/>
        <v>533.25</v>
      </c>
      <c r="G54" s="82">
        <f>380*1.35</f>
        <v>513</v>
      </c>
      <c r="H54" s="7"/>
    </row>
    <row r="55">
      <c r="A55" s="119">
        <v>9.0</v>
      </c>
      <c r="B55" s="115" t="s">
        <v>60</v>
      </c>
      <c r="C55" s="118">
        <v>10.0</v>
      </c>
      <c r="D55" s="118">
        <v>10.0</v>
      </c>
      <c r="E55" s="118">
        <v>10.0</v>
      </c>
      <c r="F55" s="118">
        <v>10.0</v>
      </c>
      <c r="G55" s="118">
        <v>10.0</v>
      </c>
      <c r="H55" s="153"/>
    </row>
    <row r="56">
      <c r="A56" s="111"/>
      <c r="B56" s="123" t="s">
        <v>61</v>
      </c>
      <c r="C56" s="7">
        <f t="shared" ref="C56:G56" si="18">SUM(C47:C55)</f>
        <v>1775.075</v>
      </c>
      <c r="D56" s="7">
        <f t="shared" si="18"/>
        <v>1701.575</v>
      </c>
      <c r="E56" s="7">
        <f t="shared" si="18"/>
        <v>1591.075</v>
      </c>
      <c r="F56" s="7">
        <f t="shared" si="18"/>
        <v>1518.825</v>
      </c>
      <c r="G56" s="7">
        <f t="shared" si="18"/>
        <v>1436.775</v>
      </c>
      <c r="H56" s="111"/>
    </row>
    <row r="57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</row>
    <row r="58">
      <c r="A58" s="132" t="str">
        <f>IFERROR(__xludf.DUMMYFUNCTION("IMPORTRANGE(""1HkzfTg_x2lNlvG_oAmvAnugODRXnepM3bnsrF1TbIKU"", ""Папки и изделия из ПВХ!a107:f108"")"),"")</f>
        <v/>
      </c>
      <c r="B58" s="133" t="str">
        <f>IFERROR(__xludf.DUMMYFUNCTION("""COMPUTED_VALUE"""),"Штампы для тиснение")</f>
        <v>Штампы для тиснение</v>
      </c>
      <c r="C58" s="60" t="str">
        <f>IFERROR(__xludf.DUMMYFUNCTION("""COMPUTED_VALUE"""),"До 50х40 мм (Размер 1)")</f>
        <v>До 50х40 мм (Размер 1)</v>
      </c>
      <c r="D58" s="60" t="str">
        <f>IFERROR(__xludf.DUMMYFUNCTION("""COMPUTED_VALUE"""),"До 100х80 (Размер 2)")</f>
        <v>До 100х80 (Размер 2)</v>
      </c>
      <c r="E58" s="60" t="str">
        <f>IFERROR(__xludf.DUMMYFUNCTION("""COMPUTED_VALUE"""),"До 150х120 (Размер 3)")</f>
        <v>До 150х120 (Размер 3)</v>
      </c>
      <c r="F58" s="60" t="str">
        <f>IFERROR(__xludf.DUMMYFUNCTION("""COMPUTED_VALUE"""),"До 200х160 (Размер 4)")</f>
        <v>До 200х160 (Размер 4)</v>
      </c>
      <c r="G58" s="111"/>
      <c r="H58" s="111"/>
      <c r="I58" s="111"/>
      <c r="J58" s="111"/>
      <c r="K58" s="111"/>
      <c r="L58" s="111"/>
    </row>
    <row r="59">
      <c r="A59" s="135" t="str">
        <f>IFERROR(__xludf.DUMMYFUNCTION("""COMPUTED_VALUE"""),"ШТ-1 (2, 3, 4)")</f>
        <v>ШТ-1 (2, 3, 4)</v>
      </c>
      <c r="B59" s="137" t="str">
        <f>IFERROR(__xludf.DUMMYFUNCTION("""COMPUTED_VALUE"""),"Штамп для тиснения")</f>
        <v>Штамп для тиснения</v>
      </c>
      <c r="C59" s="137" t="str">
        <f>IFERROR(__xludf.DUMMYFUNCTION("""COMPUTED_VALUE"""),"3000 руб")</f>
        <v>3000 руб</v>
      </c>
      <c r="D59" s="137" t="str">
        <f>IFERROR(__xludf.DUMMYFUNCTION("""COMPUTED_VALUE"""),"6000 руб")</f>
        <v>6000 руб</v>
      </c>
      <c r="E59" s="137" t="str">
        <f>IFERROR(__xludf.DUMMYFUNCTION("""COMPUTED_VALUE"""),"12000 руб")</f>
        <v>12000 руб</v>
      </c>
      <c r="F59" s="137" t="str">
        <f>IFERROR(__xludf.DUMMYFUNCTION("""COMPUTED_VALUE"""),"20000 руб")</f>
        <v>20000 руб</v>
      </c>
      <c r="G59" s="111"/>
      <c r="H59" s="111"/>
      <c r="I59" s="111"/>
      <c r="J59" s="111"/>
      <c r="K59" s="111"/>
      <c r="L59" s="111"/>
    </row>
    <row r="60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</row>
    <row r="6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</row>
    <row r="6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</row>
    <row r="6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</row>
    <row r="64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</row>
    <row r="65">
      <c r="A65" s="111"/>
      <c r="B65" s="145" t="s">
        <v>73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</row>
    <row r="66">
      <c r="A66" s="158"/>
      <c r="B66" s="158"/>
      <c r="C66" s="110" t="s">
        <v>75</v>
      </c>
      <c r="H66" s="110"/>
      <c r="I66" s="111"/>
      <c r="J66" s="111"/>
      <c r="K66" s="111"/>
      <c r="L66" s="111"/>
    </row>
    <row r="67">
      <c r="A67" s="113" t="s">
        <v>55</v>
      </c>
      <c r="B67" s="113" t="s">
        <v>76</v>
      </c>
      <c r="C67" s="114">
        <v>50.0</v>
      </c>
      <c r="D67" s="114">
        <v>100.0</v>
      </c>
      <c r="E67" s="114">
        <v>200.0</v>
      </c>
      <c r="F67" s="114">
        <v>300.0</v>
      </c>
      <c r="G67" s="114">
        <v>500.0</v>
      </c>
      <c r="H67" s="146"/>
      <c r="I67" s="154"/>
      <c r="K67" s="154"/>
      <c r="L67" s="111"/>
    </row>
    <row r="68">
      <c r="A68" s="115">
        <v>1.0</v>
      </c>
      <c r="B68" s="116" t="str">
        <f>IFERROR(__xludf.DUMMYFUNCTION("IMPORTRANGE(""1HkzfTg_x2lNlvG_oAmvAnugODRXnepM3bnsrF1TbIKU"", ""Папки и изделия экокожа!b33:g33"")"),"Обложка для паспорта искусственная кожа с полноцветной печатью, дополнительные отделения,135х195 мм")</f>
        <v>Обложка для паспорта искусственная кожа с полноцветной печатью, дополнительные отделения,135х195 мм</v>
      </c>
      <c r="C68" s="106">
        <f>IFERROR(__xludf.DUMMYFUNCTION("""COMPUTED_VALUE"""),310.0)</f>
        <v>310</v>
      </c>
      <c r="D68" s="106">
        <f>IFERROR(__xludf.DUMMYFUNCTION("""COMPUTED_VALUE"""),290.0)</f>
        <v>290</v>
      </c>
      <c r="E68" s="106">
        <f>IFERROR(__xludf.DUMMYFUNCTION("""COMPUTED_VALUE"""),270.0)</f>
        <v>270</v>
      </c>
      <c r="F68" s="106">
        <f>IFERROR(__xludf.DUMMYFUNCTION("""COMPUTED_VALUE"""),255.0)</f>
        <v>255</v>
      </c>
      <c r="G68" s="106">
        <f>IFERROR(__xludf.DUMMYFUNCTION("""COMPUTED_VALUE"""),240.0)</f>
        <v>240</v>
      </c>
      <c r="H68" s="62"/>
      <c r="K68" s="154"/>
      <c r="L68" s="111"/>
    </row>
    <row r="69">
      <c r="A69" s="119">
        <v>2.0</v>
      </c>
      <c r="B69" s="116" t="str">
        <f>IFERROR(__xludf.DUMMYFUNCTION("IMPORTRANGE(""1HkzfTg_x2lNlvG_oAmvAnugODRXnepM3bnsrF1TbIKU"", ""Папки и изделия экокожа!b49:g49"")"),"Багажная бирка искусственная кожа с персонализацией")</f>
        <v>Багажная бирка искусственная кожа с персонализацией</v>
      </c>
      <c r="C69" s="106">
        <f>IFERROR(__xludf.DUMMYFUNCTION("""COMPUTED_VALUE"""),130.0)</f>
        <v>130</v>
      </c>
      <c r="D69" s="106">
        <f>IFERROR(__xludf.DUMMYFUNCTION("""COMPUTED_VALUE"""),125.0)</f>
        <v>125</v>
      </c>
      <c r="E69" s="106">
        <f>IFERROR(__xludf.DUMMYFUNCTION("""COMPUTED_VALUE"""),120.0)</f>
        <v>120</v>
      </c>
      <c r="F69" s="106">
        <f>IFERROR(__xludf.DUMMYFUNCTION("""COMPUTED_VALUE"""),115.0)</f>
        <v>115</v>
      </c>
      <c r="G69" s="106">
        <f>IFERROR(__xludf.DUMMYFUNCTION("""COMPUTED_VALUE"""),105.0)</f>
        <v>105</v>
      </c>
      <c r="H69" s="62"/>
      <c r="K69" s="154"/>
      <c r="L69" s="111"/>
    </row>
    <row r="70">
      <c r="A70" s="119">
        <v>3.0</v>
      </c>
      <c r="B70" s="116" t="str">
        <f>IFERROR(__xludf.DUMMYFUNCTION("IMPORTRANGE(""1HkzfTg_x2lNlvG_oAmvAnugODRXnepM3bnsrF1TbIKU"", ""Папки и изделия экокожа!b44:g44"")"),"Органайзер для путешественника искусственная кожа с полноцветной печатью, дополнительные отделения, 98х215")</f>
        <v>Органайзер для путешественника искусственная кожа с полноцветной печатью, дополнительные отделения, 98х215</v>
      </c>
      <c r="C70" s="106">
        <f>IFERROR(__xludf.DUMMYFUNCTION("""COMPUTED_VALUE"""),345.0)</f>
        <v>345</v>
      </c>
      <c r="D70" s="106">
        <f>IFERROR(__xludf.DUMMYFUNCTION("""COMPUTED_VALUE"""),325.0)</f>
        <v>325</v>
      </c>
      <c r="E70" s="106">
        <f>IFERROR(__xludf.DUMMYFUNCTION("""COMPUTED_VALUE"""),305.0)</f>
        <v>305</v>
      </c>
      <c r="F70" s="106">
        <f>IFERROR(__xludf.DUMMYFUNCTION("""COMPUTED_VALUE"""),290.0)</f>
        <v>290</v>
      </c>
      <c r="G70" s="106">
        <f>IFERROR(__xludf.DUMMYFUNCTION("""COMPUTED_VALUE"""),275.0)</f>
        <v>275</v>
      </c>
      <c r="H70" s="62"/>
      <c r="K70" s="154"/>
      <c r="L70" s="111"/>
    </row>
    <row r="71">
      <c r="A71" s="115">
        <v>4.0</v>
      </c>
      <c r="B71" s="115" t="s">
        <v>57</v>
      </c>
      <c r="C71" s="82">
        <f t="shared" ref="C71:G71" si="19">(1000/C67+4.5)*1.35</f>
        <v>33.075</v>
      </c>
      <c r="D71" s="82">
        <f t="shared" si="19"/>
        <v>19.575</v>
      </c>
      <c r="E71" s="82">
        <f t="shared" si="19"/>
        <v>12.825</v>
      </c>
      <c r="F71" s="82">
        <f t="shared" si="19"/>
        <v>10.575</v>
      </c>
      <c r="G71" s="82">
        <f t="shared" si="19"/>
        <v>8.775</v>
      </c>
      <c r="H71" s="7"/>
      <c r="K71" s="154"/>
      <c r="L71" s="111"/>
    </row>
    <row r="72">
      <c r="A72" s="119">
        <v>5.0</v>
      </c>
      <c r="B72" s="115" t="s">
        <v>58</v>
      </c>
      <c r="C72" s="118">
        <v>17.0</v>
      </c>
      <c r="D72" s="118">
        <v>17.0</v>
      </c>
      <c r="E72" s="118">
        <v>17.0</v>
      </c>
      <c r="F72" s="118">
        <v>17.0</v>
      </c>
      <c r="G72" s="118">
        <v>17.0</v>
      </c>
      <c r="H72" s="153"/>
      <c r="K72" s="154"/>
      <c r="L72" s="111"/>
    </row>
    <row r="73">
      <c r="A73" s="119">
        <v>6.0</v>
      </c>
      <c r="B73" s="115" t="s">
        <v>59</v>
      </c>
      <c r="C73" s="82">
        <f t="shared" ref="C73:E73" si="20">280*1.35</f>
        <v>378</v>
      </c>
      <c r="D73" s="82">
        <f t="shared" si="20"/>
        <v>378</v>
      </c>
      <c r="E73" s="82">
        <f t="shared" si="20"/>
        <v>378</v>
      </c>
      <c r="F73" s="82">
        <f t="shared" ref="F73:G73" si="21">240*1.35</f>
        <v>324</v>
      </c>
      <c r="G73" s="82">
        <f t="shared" si="21"/>
        <v>324</v>
      </c>
      <c r="H73" s="7"/>
      <c r="K73" s="154"/>
      <c r="L73" s="111"/>
    </row>
    <row r="74">
      <c r="A74" s="115">
        <v>7.0</v>
      </c>
      <c r="B74" s="115" t="s">
        <v>60</v>
      </c>
      <c r="C74" s="118">
        <v>10.0</v>
      </c>
      <c r="D74" s="118">
        <v>10.0</v>
      </c>
      <c r="E74" s="118">
        <v>10.0</v>
      </c>
      <c r="F74" s="118">
        <v>10.0</v>
      </c>
      <c r="G74" s="118">
        <v>10.0</v>
      </c>
      <c r="H74" s="153"/>
      <c r="K74" s="154"/>
      <c r="L74" s="111"/>
    </row>
    <row r="75">
      <c r="A75" s="111"/>
      <c r="B75" s="123" t="s">
        <v>65</v>
      </c>
      <c r="C75" s="7">
        <f t="shared" ref="C75:G75" si="22">SUM(C68:C74)</f>
        <v>1223.075</v>
      </c>
      <c r="D75" s="7">
        <f t="shared" si="22"/>
        <v>1164.575</v>
      </c>
      <c r="E75" s="7">
        <f t="shared" si="22"/>
        <v>1112.825</v>
      </c>
      <c r="F75" s="7">
        <f t="shared" si="22"/>
        <v>1021.575</v>
      </c>
      <c r="G75" s="7">
        <f t="shared" si="22"/>
        <v>979.775</v>
      </c>
      <c r="H75" s="111"/>
      <c r="K75" s="154"/>
      <c r="L75" s="111"/>
    </row>
    <row r="76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</row>
    <row r="77">
      <c r="A77" s="111"/>
      <c r="B77" s="111"/>
      <c r="C77" s="110" t="s">
        <v>75</v>
      </c>
      <c r="H77" s="110"/>
      <c r="I77" s="111"/>
      <c r="J77" s="111"/>
      <c r="K77" s="111"/>
      <c r="L77" s="111"/>
    </row>
    <row r="78">
      <c r="A78" s="113" t="s">
        <v>55</v>
      </c>
      <c r="B78" s="113" t="s">
        <v>85</v>
      </c>
      <c r="C78" s="114">
        <v>50.0</v>
      </c>
      <c r="D78" s="114">
        <v>100.0</v>
      </c>
      <c r="E78" s="114">
        <v>200.0</v>
      </c>
      <c r="F78" s="114">
        <v>300.0</v>
      </c>
      <c r="G78" s="114">
        <v>500.0</v>
      </c>
      <c r="H78" s="146"/>
      <c r="I78" s="111"/>
      <c r="K78" s="111"/>
      <c r="L78" s="111"/>
    </row>
    <row r="79">
      <c r="A79" s="115">
        <v>1.0</v>
      </c>
      <c r="B79" s="116" t="str">
        <f>IFERROR(__xludf.DUMMYFUNCTION("IMPORTRANGE(""1HkzfTg_x2lNlvG_oAmvAnugODRXnepM3bnsrF1TbIKU"", ""Папки и изделия экокожа!b32:g32"")"),"Обложка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79" s="106">
        <f>IFERROR(__xludf.DUMMYFUNCTION("""COMPUTED_VALUE"""),260.0)</f>
        <v>260</v>
      </c>
      <c r="D79" s="106">
        <f>IFERROR(__xludf.DUMMYFUNCTION("""COMPUTED_VALUE"""),240.0)</f>
        <v>240</v>
      </c>
      <c r="E79" s="106">
        <f>IFERROR(__xludf.DUMMYFUNCTION("""COMPUTED_VALUE"""),220.0)</f>
        <v>220</v>
      </c>
      <c r="F79" s="106">
        <f>IFERROR(__xludf.DUMMYFUNCTION("""COMPUTED_VALUE"""),205.0)</f>
        <v>205</v>
      </c>
      <c r="G79" s="106">
        <f>IFERROR(__xludf.DUMMYFUNCTION("""COMPUTED_VALUE"""),190.0)</f>
        <v>190</v>
      </c>
      <c r="H79" s="62"/>
      <c r="K79" s="111"/>
      <c r="L79" s="111"/>
    </row>
    <row r="80">
      <c r="A80" s="119">
        <v>2.0</v>
      </c>
      <c r="B80" s="116" t="str">
        <f>IFERROR(__xludf.DUMMYFUNCTION("IMPORTRANGE(""1HkzfTg_x2lNlvG_oAmvAnugODRXnepM3bnsrF1TbIKU"", ""Папки и изделия экокожа!b48:g48"")"),"")</f>
        <v/>
      </c>
      <c r="C80" s="106" t="str">
        <f>IFERROR(__xludf.DUMMYFUNCTION("""COMPUTED_VALUE"""),"50 шт")</f>
        <v>50 шт</v>
      </c>
      <c r="D80" s="106" t="str">
        <f>IFERROR(__xludf.DUMMYFUNCTION("""COMPUTED_VALUE"""),"100 шт")</f>
        <v>100 шт</v>
      </c>
      <c r="E80" s="106" t="str">
        <f>IFERROR(__xludf.DUMMYFUNCTION("""COMPUTED_VALUE"""),"200 шт")</f>
        <v>200 шт</v>
      </c>
      <c r="F80" s="106" t="str">
        <f>IFERROR(__xludf.DUMMYFUNCTION("""COMPUTED_VALUE"""),"300 шт")</f>
        <v>300 шт</v>
      </c>
      <c r="G80" s="106" t="str">
        <f>IFERROR(__xludf.DUMMYFUNCTION("""COMPUTED_VALUE"""),"500 шт")</f>
        <v>500 шт</v>
      </c>
      <c r="H80" s="62"/>
      <c r="K80" s="111"/>
      <c r="L80" s="111"/>
    </row>
    <row r="81">
      <c r="A81" s="119">
        <v>3.0</v>
      </c>
      <c r="B81" s="116" t="str">
        <f>IFERROR(__xludf.DUMMYFUNCTION("IMPORTRANGE(""1HkzfTg_x2lNlvG_oAmvAnugODRXnepM3bnsrF1TbIKU"", ""Папки и изделия экокожа!b43:g43"")"),"Органайзер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81" s="106">
        <f>IFERROR(__xludf.DUMMYFUNCTION("""COMPUTED_VALUE"""),295.0)</f>
        <v>295</v>
      </c>
      <c r="D81" s="106">
        <f>IFERROR(__xludf.DUMMYFUNCTION("""COMPUTED_VALUE"""),275.0)</f>
        <v>275</v>
      </c>
      <c r="E81" s="106">
        <f>IFERROR(__xludf.DUMMYFUNCTION("""COMPUTED_VALUE"""),255.0)</f>
        <v>255</v>
      </c>
      <c r="F81" s="106">
        <f>IFERROR(__xludf.DUMMYFUNCTION("""COMPUTED_VALUE"""),240.0)</f>
        <v>240</v>
      </c>
      <c r="G81" s="106">
        <f>IFERROR(__xludf.DUMMYFUNCTION("""COMPUTED_VALUE"""),225.0)</f>
        <v>225</v>
      </c>
      <c r="H81" s="62"/>
      <c r="K81" s="111"/>
      <c r="L81" s="111"/>
    </row>
    <row r="82">
      <c r="A82" s="115">
        <v>4.0</v>
      </c>
      <c r="B82" s="115" t="s">
        <v>57</v>
      </c>
      <c r="C82" s="82">
        <f t="shared" ref="C82:G82" si="23">(1000/C78+4.5)*1.35</f>
        <v>33.075</v>
      </c>
      <c r="D82" s="82">
        <f t="shared" si="23"/>
        <v>19.575</v>
      </c>
      <c r="E82" s="82">
        <f t="shared" si="23"/>
        <v>12.825</v>
      </c>
      <c r="F82" s="82">
        <f t="shared" si="23"/>
        <v>10.575</v>
      </c>
      <c r="G82" s="82">
        <f t="shared" si="23"/>
        <v>8.775</v>
      </c>
      <c r="H82" s="7"/>
      <c r="K82" s="111"/>
      <c r="L82" s="111"/>
    </row>
    <row r="83">
      <c r="A83" s="119">
        <v>5.0</v>
      </c>
      <c r="B83" s="115" t="s">
        <v>58</v>
      </c>
      <c r="C83" s="118">
        <v>17.0</v>
      </c>
      <c r="D83" s="118">
        <v>17.0</v>
      </c>
      <c r="E83" s="118">
        <v>17.0</v>
      </c>
      <c r="F83" s="118">
        <v>17.0</v>
      </c>
      <c r="G83" s="118">
        <v>17.0</v>
      </c>
      <c r="H83" s="153"/>
      <c r="K83" s="111"/>
      <c r="L83" s="111"/>
    </row>
    <row r="84">
      <c r="A84" s="119">
        <v>6.0</v>
      </c>
      <c r="B84" s="115" t="s">
        <v>59</v>
      </c>
      <c r="C84" s="82">
        <f t="shared" ref="C84:E84" si="24">280*1.35</f>
        <v>378</v>
      </c>
      <c r="D84" s="82">
        <f t="shared" si="24"/>
        <v>378</v>
      </c>
      <c r="E84" s="82">
        <f t="shared" si="24"/>
        <v>378</v>
      </c>
      <c r="F84" s="82">
        <f t="shared" ref="F84:G84" si="25">240*1.35</f>
        <v>324</v>
      </c>
      <c r="G84" s="82">
        <f t="shared" si="25"/>
        <v>324</v>
      </c>
      <c r="H84" s="7"/>
      <c r="K84" s="111"/>
      <c r="L84" s="111"/>
    </row>
    <row r="85">
      <c r="A85" s="115">
        <v>7.0</v>
      </c>
      <c r="B85" s="115" t="s">
        <v>60</v>
      </c>
      <c r="C85" s="118">
        <v>10.0</v>
      </c>
      <c r="D85" s="118">
        <v>10.0</v>
      </c>
      <c r="E85" s="118">
        <v>10.0</v>
      </c>
      <c r="F85" s="118">
        <v>10.0</v>
      </c>
      <c r="G85" s="118">
        <v>10.0</v>
      </c>
      <c r="H85" s="153"/>
      <c r="K85" s="111"/>
      <c r="L85" s="111"/>
    </row>
    <row r="86">
      <c r="A86" s="111"/>
      <c r="B86" s="123" t="s">
        <v>65</v>
      </c>
      <c r="C86" s="7">
        <f t="shared" ref="C86:G86" si="26">SUM(C79:C85)</f>
        <v>993.075</v>
      </c>
      <c r="D86" s="7">
        <f t="shared" si="26"/>
        <v>939.575</v>
      </c>
      <c r="E86" s="7">
        <f t="shared" si="26"/>
        <v>892.825</v>
      </c>
      <c r="F86" s="7">
        <f t="shared" si="26"/>
        <v>806.575</v>
      </c>
      <c r="G86" s="7">
        <f t="shared" si="26"/>
        <v>774.775</v>
      </c>
      <c r="H86" s="111"/>
      <c r="K86" s="111"/>
      <c r="L86" s="111"/>
    </row>
    <row r="87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</row>
    <row r="88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</row>
    <row r="89">
      <c r="A89" s="132" t="str">
        <f>IFERROR(__xludf.DUMMYFUNCTION("IMPORTRANGE(""1HkzfTg_x2lNlvG_oAmvAnugODRXnepM3bnsrF1TbIKU"", ""Папки и изделия из ПВХ!a107:f108"")"),"")</f>
        <v/>
      </c>
      <c r="B89" s="133" t="str">
        <f>IFERROR(__xludf.DUMMYFUNCTION("""COMPUTED_VALUE"""),"Штампы для тиснение")</f>
        <v>Штампы для тиснение</v>
      </c>
      <c r="C89" s="60" t="str">
        <f>IFERROR(__xludf.DUMMYFUNCTION("""COMPUTED_VALUE"""),"До 50х40 мм (Размер 1)")</f>
        <v>До 50х40 мм (Размер 1)</v>
      </c>
      <c r="D89" s="60" t="str">
        <f>IFERROR(__xludf.DUMMYFUNCTION("""COMPUTED_VALUE"""),"До 100х80 (Размер 2)")</f>
        <v>До 100х80 (Размер 2)</v>
      </c>
      <c r="E89" s="60" t="str">
        <f>IFERROR(__xludf.DUMMYFUNCTION("""COMPUTED_VALUE"""),"До 150х120 (Размер 3)")</f>
        <v>До 150х120 (Размер 3)</v>
      </c>
      <c r="F89" s="60" t="str">
        <f>IFERROR(__xludf.DUMMYFUNCTION("""COMPUTED_VALUE"""),"До 200х160 (Размер 4)")</f>
        <v>До 200х160 (Размер 4)</v>
      </c>
      <c r="G89" s="111"/>
      <c r="H89" s="111"/>
      <c r="I89" s="111"/>
      <c r="J89" s="111"/>
      <c r="K89" s="111"/>
      <c r="L89" s="111"/>
    </row>
    <row r="90">
      <c r="A90" s="135" t="str">
        <f>IFERROR(__xludf.DUMMYFUNCTION("""COMPUTED_VALUE"""),"ШТ-1 (2, 3, 4)")</f>
        <v>ШТ-1 (2, 3, 4)</v>
      </c>
      <c r="B90" s="137" t="str">
        <f>IFERROR(__xludf.DUMMYFUNCTION("""COMPUTED_VALUE"""),"Штамп для тиснения")</f>
        <v>Штамп для тиснения</v>
      </c>
      <c r="C90" s="137" t="str">
        <f>IFERROR(__xludf.DUMMYFUNCTION("""COMPUTED_VALUE"""),"3000 руб")</f>
        <v>3000 руб</v>
      </c>
      <c r="D90" s="137" t="str">
        <f>IFERROR(__xludf.DUMMYFUNCTION("""COMPUTED_VALUE"""),"6000 руб")</f>
        <v>6000 руб</v>
      </c>
      <c r="E90" s="137" t="str">
        <f>IFERROR(__xludf.DUMMYFUNCTION("""COMPUTED_VALUE"""),"12000 руб")</f>
        <v>12000 руб</v>
      </c>
      <c r="F90" s="137" t="str">
        <f>IFERROR(__xludf.DUMMYFUNCTION("""COMPUTED_VALUE"""),"20000 руб")</f>
        <v>20000 руб</v>
      </c>
      <c r="G90" s="111"/>
      <c r="H90" s="111"/>
      <c r="I90" s="111"/>
      <c r="J90" s="111"/>
      <c r="K90" s="111"/>
      <c r="L90" s="111"/>
    </row>
    <row r="91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</row>
    <row r="92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</row>
    <row r="93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</row>
    <row r="94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</row>
    <row r="95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</row>
    <row r="96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</row>
    <row r="97">
      <c r="A97" s="158"/>
      <c r="B97" s="158"/>
      <c r="C97" s="110" t="s">
        <v>75</v>
      </c>
      <c r="H97" s="110"/>
    </row>
    <row r="98">
      <c r="A98" s="113" t="s">
        <v>55</v>
      </c>
      <c r="B98" s="113" t="s">
        <v>91</v>
      </c>
      <c r="C98" s="114">
        <v>50.0</v>
      </c>
      <c r="D98" s="114">
        <v>100.0</v>
      </c>
      <c r="E98" s="114">
        <v>200.0</v>
      </c>
      <c r="F98" s="114">
        <v>300.0</v>
      </c>
      <c r="G98" s="114">
        <v>500.0</v>
      </c>
      <c r="H98" s="146"/>
    </row>
    <row r="99">
      <c r="A99" s="115">
        <v>1.0</v>
      </c>
      <c r="B99" s="116" t="str">
        <f>IFERROR(__xludf.DUMMYFUNCTION("IMPORTRANGE(""1HkzfTg_x2lNlvG_oAmvAnugODRXnepM3bnsrF1TbIKU"", ""Папки и изделия экокожа!b44:g44"")"),"Органайзер для путешественника искусственная кожа с полноцветной печатью, дополнительные отделения, 98х215")</f>
        <v>Органайзер для путешественника искусственная кожа с полноцветной печатью, дополнительные отделения, 98х215</v>
      </c>
      <c r="C99" s="106">
        <f>IFERROR(__xludf.DUMMYFUNCTION("""COMPUTED_VALUE"""),345.0)</f>
        <v>345</v>
      </c>
      <c r="D99" s="106">
        <f>IFERROR(__xludf.DUMMYFUNCTION("""COMPUTED_VALUE"""),325.0)</f>
        <v>325</v>
      </c>
      <c r="E99" s="106">
        <f>IFERROR(__xludf.DUMMYFUNCTION("""COMPUTED_VALUE"""),305.0)</f>
        <v>305</v>
      </c>
      <c r="F99" s="106">
        <f>IFERROR(__xludf.DUMMYFUNCTION("""COMPUTED_VALUE"""),290.0)</f>
        <v>290</v>
      </c>
      <c r="G99" s="106">
        <f>IFERROR(__xludf.DUMMYFUNCTION("""COMPUTED_VALUE"""),275.0)</f>
        <v>275</v>
      </c>
      <c r="H99" s="62"/>
    </row>
    <row r="100">
      <c r="A100" s="119">
        <v>2.0</v>
      </c>
      <c r="B100" s="116" t="str">
        <f>IFERROR(__xludf.DUMMYFUNCTION("IMPORTRANGE(""1HkzfTg_x2lNlvG_oAmvAnugODRXnepM3bnsrF1TbIKU"", ""Папки и изделия экокожа!b51:g51"")"),"Багажная бирка на СЕРОЙ резинке, искусственная кожа с персонализацией")</f>
        <v>Багажная бирка на СЕРОЙ резинке, искусственная кожа с персонализацией</v>
      </c>
      <c r="C100" s="106">
        <f>IFERROR(__xludf.DUMMYFUNCTION("""COMPUTED_VALUE"""),140.0)</f>
        <v>140</v>
      </c>
      <c r="D100" s="106">
        <f>IFERROR(__xludf.DUMMYFUNCTION("""COMPUTED_VALUE"""),135.0)</f>
        <v>135</v>
      </c>
      <c r="E100" s="106">
        <f>IFERROR(__xludf.DUMMYFUNCTION("""COMPUTED_VALUE"""),130.0)</f>
        <v>130</v>
      </c>
      <c r="F100" s="106">
        <f>IFERROR(__xludf.DUMMYFUNCTION("""COMPUTED_VALUE"""),125.0)</f>
        <v>125</v>
      </c>
      <c r="G100" s="106">
        <f>IFERROR(__xludf.DUMMYFUNCTION("""COMPUTED_VALUE"""),115.0)</f>
        <v>115</v>
      </c>
      <c r="H100" s="62"/>
    </row>
    <row r="101">
      <c r="A101" s="119">
        <v>3.0</v>
      </c>
      <c r="B101" s="116" t="str">
        <f>IFERROR(__xludf.DUMMYFUNCTION("IMPORTRANGE(""1HkzfTg_x2lNlvG_oAmvAnugODRXnepM3bnsrF1TbIKU"", ""Папки и изделия экокожа!b33:g33"")"),"Обложка для паспорта искусственная кожа с полноцветной печатью, дополнительные отделения,135х195 мм")</f>
        <v>Обложка для паспорта искусственная кожа с полноцветной печатью, дополнительные отделения,135х195 мм</v>
      </c>
      <c r="C101" s="106">
        <f>IFERROR(__xludf.DUMMYFUNCTION("""COMPUTED_VALUE"""),310.0)</f>
        <v>310</v>
      </c>
      <c r="D101" s="106">
        <f>IFERROR(__xludf.DUMMYFUNCTION("""COMPUTED_VALUE"""),290.0)</f>
        <v>290</v>
      </c>
      <c r="E101" s="106">
        <f>IFERROR(__xludf.DUMMYFUNCTION("""COMPUTED_VALUE"""),270.0)</f>
        <v>270</v>
      </c>
      <c r="F101" s="106">
        <f>IFERROR(__xludf.DUMMYFUNCTION("""COMPUTED_VALUE"""),255.0)</f>
        <v>255</v>
      </c>
      <c r="G101" s="106">
        <f>IFERROR(__xludf.DUMMYFUNCTION("""COMPUTED_VALUE"""),240.0)</f>
        <v>240</v>
      </c>
      <c r="H101" s="62"/>
    </row>
    <row r="102">
      <c r="A102" s="115">
        <v>4.0</v>
      </c>
      <c r="B102" s="115" t="s">
        <v>57</v>
      </c>
      <c r="C102" s="82">
        <f t="shared" ref="C102:G102" si="27">(1000/C98+4.5)*1.35</f>
        <v>33.075</v>
      </c>
      <c r="D102" s="82">
        <f t="shared" si="27"/>
        <v>19.575</v>
      </c>
      <c r="E102" s="82">
        <f t="shared" si="27"/>
        <v>12.825</v>
      </c>
      <c r="F102" s="82">
        <f t="shared" si="27"/>
        <v>10.575</v>
      </c>
      <c r="G102" s="82">
        <f t="shared" si="27"/>
        <v>8.775</v>
      </c>
      <c r="H102" s="7"/>
    </row>
    <row r="103">
      <c r="A103" s="119">
        <v>5.0</v>
      </c>
      <c r="B103" s="115" t="s">
        <v>58</v>
      </c>
      <c r="C103" s="118">
        <v>15.0</v>
      </c>
      <c r="D103" s="118">
        <v>15.0</v>
      </c>
      <c r="E103" s="118">
        <v>15.0</v>
      </c>
      <c r="F103" s="118">
        <v>15.0</v>
      </c>
      <c r="G103" s="118">
        <v>15.0</v>
      </c>
      <c r="H103" s="153"/>
    </row>
    <row r="104">
      <c r="A104" s="119">
        <v>6.0</v>
      </c>
      <c r="B104" s="115" t="s">
        <v>64</v>
      </c>
      <c r="C104" s="82">
        <f t="shared" ref="C104:D104" si="28">320*1.35</f>
        <v>432</v>
      </c>
      <c r="D104" s="82">
        <f t="shared" si="28"/>
        <v>432</v>
      </c>
      <c r="E104" s="82">
        <f t="shared" ref="E104:F104" si="29">300*1.35</f>
        <v>405</v>
      </c>
      <c r="F104" s="82">
        <f t="shared" si="29"/>
        <v>405</v>
      </c>
      <c r="G104" s="82">
        <f>290*1.35</f>
        <v>391.5</v>
      </c>
      <c r="H104" s="7"/>
    </row>
    <row r="105">
      <c r="A105" s="115">
        <v>7.0</v>
      </c>
      <c r="B105" s="115" t="s">
        <v>60</v>
      </c>
      <c r="C105" s="118">
        <v>10.0</v>
      </c>
      <c r="D105" s="118">
        <v>10.0</v>
      </c>
      <c r="E105" s="118">
        <v>10.0</v>
      </c>
      <c r="F105" s="118">
        <v>10.0</v>
      </c>
      <c r="G105" s="118">
        <v>10.0</v>
      </c>
      <c r="H105" s="153"/>
    </row>
    <row r="106">
      <c r="A106" s="111"/>
      <c r="B106" s="123" t="s">
        <v>65</v>
      </c>
      <c r="C106" s="7">
        <f t="shared" ref="C106:G106" si="30">SUM(C99:C105)</f>
        <v>1285.075</v>
      </c>
      <c r="D106" s="7">
        <f t="shared" si="30"/>
        <v>1226.575</v>
      </c>
      <c r="E106" s="7">
        <f t="shared" si="30"/>
        <v>1147.825</v>
      </c>
      <c r="F106" s="7">
        <f t="shared" si="30"/>
        <v>1110.575</v>
      </c>
      <c r="G106" s="7">
        <f t="shared" si="30"/>
        <v>1055.275</v>
      </c>
      <c r="H106" s="111"/>
    </row>
    <row r="107">
      <c r="A107" s="111"/>
      <c r="B107" s="111"/>
      <c r="C107" s="111"/>
      <c r="D107" s="111"/>
      <c r="E107" s="111"/>
      <c r="F107" s="111"/>
      <c r="G107" s="111"/>
      <c r="H107" s="111"/>
    </row>
    <row r="108">
      <c r="A108" s="111"/>
      <c r="B108" s="111"/>
      <c r="C108" s="110" t="s">
        <v>75</v>
      </c>
      <c r="H108" s="110"/>
    </row>
    <row r="109">
      <c r="A109" s="113" t="s">
        <v>55</v>
      </c>
      <c r="B109" s="113" t="s">
        <v>96</v>
      </c>
      <c r="C109" s="114">
        <v>50.0</v>
      </c>
      <c r="D109" s="114">
        <v>100.0</v>
      </c>
      <c r="E109" s="114">
        <v>200.0</v>
      </c>
      <c r="F109" s="114">
        <v>300.0</v>
      </c>
      <c r="G109" s="114">
        <v>500.0</v>
      </c>
      <c r="H109" s="146"/>
    </row>
    <row r="110">
      <c r="A110" s="115">
        <v>1.0</v>
      </c>
      <c r="B110" s="116" t="str">
        <f>IFERROR(__xludf.DUMMYFUNCTION("IMPORTRANGE(""1HkzfTg_x2lNlvG_oAmvAnugODRXnepM3bnsrF1TbIKU"", ""Папки и изделия экокожа!b50:g50"")"),"Багажная бирка искусственная кожа с полноцветной печатью")</f>
        <v>Багажная бирка искусственная кожа с полноцветной печатью</v>
      </c>
      <c r="C110" s="106">
        <f>IFERROR(__xludf.DUMMYFUNCTION("""COMPUTED_VALUE"""),150.0)</f>
        <v>150</v>
      </c>
      <c r="D110" s="106">
        <f>IFERROR(__xludf.DUMMYFUNCTION("""COMPUTED_VALUE"""),145.0)</f>
        <v>145</v>
      </c>
      <c r="E110" s="106">
        <f>IFERROR(__xludf.DUMMYFUNCTION("""COMPUTED_VALUE"""),140.0)</f>
        <v>140</v>
      </c>
      <c r="F110" s="106">
        <f>IFERROR(__xludf.DUMMYFUNCTION("""COMPUTED_VALUE"""),135.0)</f>
        <v>135</v>
      </c>
      <c r="G110" s="106">
        <f>IFERROR(__xludf.DUMMYFUNCTION("""COMPUTED_VALUE"""),125.0)</f>
        <v>125</v>
      </c>
      <c r="H110" s="62"/>
    </row>
    <row r="111">
      <c r="A111" s="119">
        <v>2.0</v>
      </c>
      <c r="B111" s="116" t="str">
        <f>IFERROR(__xludf.DUMMYFUNCTION("IMPORTRANGE(""1HkzfTg_x2lNlvG_oAmvAnugODRXnepM3bnsrF1TbIKU"", ""Папки и изделия экокожа!b40:g40"")"),"Обложка для автодокументов искусственная кожа с персонализацией, дополнительные отделения, 135х195 мм")</f>
        <v>Обложка для автодокументов искусственная кожа с персонализацией, дополнительные отделения, 135х195 мм</v>
      </c>
      <c r="C111" s="106">
        <f>IFERROR(__xludf.DUMMYFUNCTION("""COMPUTED_VALUE"""),300.0)</f>
        <v>300</v>
      </c>
      <c r="D111" s="106">
        <f>IFERROR(__xludf.DUMMYFUNCTION("""COMPUTED_VALUE"""),280.0)</f>
        <v>280</v>
      </c>
      <c r="E111" s="106">
        <f>IFERROR(__xludf.DUMMYFUNCTION("""COMPUTED_VALUE"""),260.0)</f>
        <v>260</v>
      </c>
      <c r="F111" s="106">
        <f>IFERROR(__xludf.DUMMYFUNCTION("""COMPUTED_VALUE"""),245.0)</f>
        <v>245</v>
      </c>
      <c r="G111" s="106">
        <f>IFERROR(__xludf.DUMMYFUNCTION("""COMPUTED_VALUE"""),230.0)</f>
        <v>230</v>
      </c>
      <c r="H111" s="62"/>
    </row>
    <row r="112">
      <c r="A112" s="119">
        <v>3.0</v>
      </c>
      <c r="B112" s="116" t="str">
        <f>IFERROR(__xludf.DUMMYFUNCTION("IMPORTRANGE(""1HkzfTg_x2lNlvG_oAmvAnugODRXnepM3bnsrF1TbIKU"", ""Папки и изделия экокожа!b43:g43"")"),"Органайзер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112" s="106">
        <f>IFERROR(__xludf.DUMMYFUNCTION("""COMPUTED_VALUE"""),295.0)</f>
        <v>295</v>
      </c>
      <c r="D112" s="106">
        <f>IFERROR(__xludf.DUMMYFUNCTION("""COMPUTED_VALUE"""),275.0)</f>
        <v>275</v>
      </c>
      <c r="E112" s="106">
        <f>IFERROR(__xludf.DUMMYFUNCTION("""COMPUTED_VALUE"""),255.0)</f>
        <v>255</v>
      </c>
      <c r="F112" s="106">
        <f>IFERROR(__xludf.DUMMYFUNCTION("""COMPUTED_VALUE"""),240.0)</f>
        <v>240</v>
      </c>
      <c r="G112" s="106">
        <f>IFERROR(__xludf.DUMMYFUNCTION("""COMPUTED_VALUE"""),225.0)</f>
        <v>225</v>
      </c>
      <c r="H112" s="62"/>
    </row>
    <row r="113">
      <c r="A113" s="115">
        <v>4.0</v>
      </c>
      <c r="B113" s="115" t="s">
        <v>57</v>
      </c>
      <c r="C113" s="82">
        <f t="shared" ref="C113:G113" si="31">(1000/C109+4.5)*1.35</f>
        <v>33.075</v>
      </c>
      <c r="D113" s="82">
        <f t="shared" si="31"/>
        <v>19.575</v>
      </c>
      <c r="E113" s="82">
        <f t="shared" si="31"/>
        <v>12.825</v>
      </c>
      <c r="F113" s="82">
        <f t="shared" si="31"/>
        <v>10.575</v>
      </c>
      <c r="G113" s="82">
        <f t="shared" si="31"/>
        <v>8.775</v>
      </c>
      <c r="H113" s="7"/>
    </row>
    <row r="114">
      <c r="A114" s="119">
        <v>5.0</v>
      </c>
      <c r="B114" s="115" t="s">
        <v>58</v>
      </c>
      <c r="C114" s="118">
        <v>15.0</v>
      </c>
      <c r="D114" s="118">
        <v>15.0</v>
      </c>
      <c r="E114" s="118">
        <v>15.0</v>
      </c>
      <c r="F114" s="118">
        <v>15.0</v>
      </c>
      <c r="G114" s="118">
        <v>15.0</v>
      </c>
      <c r="H114" s="153"/>
    </row>
    <row r="115">
      <c r="A115" s="119">
        <v>6.0</v>
      </c>
      <c r="B115" s="115" t="s">
        <v>64</v>
      </c>
      <c r="C115" s="82">
        <f t="shared" ref="C115:D115" si="32">320*1.35</f>
        <v>432</v>
      </c>
      <c r="D115" s="82">
        <f t="shared" si="32"/>
        <v>432</v>
      </c>
      <c r="E115" s="82">
        <f t="shared" ref="E115:F115" si="33">300*1.35</f>
        <v>405</v>
      </c>
      <c r="F115" s="82">
        <f t="shared" si="33"/>
        <v>405</v>
      </c>
      <c r="G115" s="82">
        <f>290*1.35</f>
        <v>391.5</v>
      </c>
      <c r="H115" s="7"/>
    </row>
    <row r="116">
      <c r="A116" s="115">
        <v>7.0</v>
      </c>
      <c r="B116" s="115" t="s">
        <v>60</v>
      </c>
      <c r="C116" s="118">
        <v>10.0</v>
      </c>
      <c r="D116" s="118">
        <v>10.0</v>
      </c>
      <c r="E116" s="118">
        <v>10.0</v>
      </c>
      <c r="F116" s="118">
        <v>10.0</v>
      </c>
      <c r="G116" s="118">
        <v>10.0</v>
      </c>
      <c r="H116" s="153"/>
    </row>
    <row r="117">
      <c r="A117" s="111"/>
      <c r="B117" s="123" t="s">
        <v>65</v>
      </c>
      <c r="C117" s="7">
        <f t="shared" ref="C117:G117" si="34">SUM(C110:C116)</f>
        <v>1235.075</v>
      </c>
      <c r="D117" s="7">
        <f t="shared" si="34"/>
        <v>1176.575</v>
      </c>
      <c r="E117" s="7">
        <f t="shared" si="34"/>
        <v>1097.825</v>
      </c>
      <c r="F117" s="7">
        <f t="shared" si="34"/>
        <v>1060.575</v>
      </c>
      <c r="G117" s="7">
        <f t="shared" si="34"/>
        <v>1005.275</v>
      </c>
      <c r="H117" s="111"/>
    </row>
    <row r="118">
      <c r="A118" s="111"/>
      <c r="B118" s="111"/>
      <c r="C118" s="111"/>
      <c r="D118" s="111"/>
      <c r="E118" s="111"/>
      <c r="F118" s="111"/>
      <c r="G118" s="111"/>
      <c r="H118" s="111"/>
    </row>
    <row r="119">
      <c r="A119" s="113" t="s">
        <v>55</v>
      </c>
      <c r="B119" s="113" t="s">
        <v>101</v>
      </c>
      <c r="C119" s="114">
        <v>50.0</v>
      </c>
      <c r="D119" s="114">
        <v>100.0</v>
      </c>
      <c r="E119" s="111"/>
      <c r="F119" s="111"/>
      <c r="G119" s="111"/>
      <c r="H119" s="111"/>
    </row>
    <row r="120">
      <c r="A120" s="115">
        <v>1.0</v>
      </c>
      <c r="B120" s="116" t="str">
        <f>IFERROR(__xludf.DUMMYFUNCTION("IMPORTRANGE(""1HkzfTg_x2lNlvG_oAmvAnugODRXnepM3bnsrF1TbIKU"", ""Чехлы и футляры ЭкоКожа!b17:g17"")"),"Футляр - книжка для кредитных карт с четырьмя карманами, RFID блокиратор, экокожа с персонализацией")</f>
        <v>Футляр - книжка для кредитных карт с четырьмя карманами, RFID блокиратор, экокожа с персонализацией</v>
      </c>
      <c r="C120" s="106">
        <f>IFERROR(__xludf.DUMMYFUNCTION("""COMPUTED_VALUE"""),215.0)</f>
        <v>215</v>
      </c>
      <c r="D120" s="106">
        <f>IFERROR(__xludf.DUMMYFUNCTION("""COMPUTED_VALUE"""),210.0)</f>
        <v>210</v>
      </c>
      <c r="E120" s="111">
        <f>IFERROR(__xludf.DUMMYFUNCTION("""COMPUTED_VALUE"""),205.0)</f>
        <v>205</v>
      </c>
      <c r="F120" s="111">
        <f>IFERROR(__xludf.DUMMYFUNCTION("""COMPUTED_VALUE"""),195.0)</f>
        <v>195</v>
      </c>
      <c r="G120" s="111">
        <f>IFERROR(__xludf.DUMMYFUNCTION("""COMPUTED_VALUE"""),185.0)</f>
        <v>185</v>
      </c>
      <c r="H120" s="111"/>
    </row>
    <row r="121">
      <c r="A121" s="119">
        <v>2.0</v>
      </c>
      <c r="B121" s="116" t="str">
        <f>IFERROR(__xludf.DUMMYFUNCTION("IMPORTRANGE(""1HkzfTg_x2lNlvG_oAmvAnugODRXnepM3bnsrF1TbIKU"", ""Папки и изделия экокожа!b32:g32"")"),"Обложка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121" s="106">
        <f>IFERROR(__xludf.DUMMYFUNCTION("""COMPUTED_VALUE"""),260.0)</f>
        <v>260</v>
      </c>
      <c r="D121" s="106">
        <f>IFERROR(__xludf.DUMMYFUNCTION("""COMPUTED_VALUE"""),240.0)</f>
        <v>240</v>
      </c>
      <c r="E121" s="111">
        <f>IFERROR(__xludf.DUMMYFUNCTION("""COMPUTED_VALUE"""),220.0)</f>
        <v>220</v>
      </c>
      <c r="F121" s="111">
        <f>IFERROR(__xludf.DUMMYFUNCTION("""COMPUTED_VALUE"""),205.0)</f>
        <v>205</v>
      </c>
      <c r="G121" s="111">
        <f>IFERROR(__xludf.DUMMYFUNCTION("""COMPUTED_VALUE"""),190.0)</f>
        <v>190</v>
      </c>
      <c r="H121" s="111"/>
    </row>
    <row r="122">
      <c r="A122" s="119">
        <v>3.0</v>
      </c>
      <c r="B122" s="116" t="str">
        <f>IFERROR(__xludf.DUMMYFUNCTION("IMPORTRANGE(""1HkzfTg_x2lNlvG_oAmvAnugODRXnepM3bnsrF1TbIKU"", ""Папки и изделия экокожа!b43:g43"")"),"Органайзер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122" s="106">
        <f>IFERROR(__xludf.DUMMYFUNCTION("""COMPUTED_VALUE"""),295.0)</f>
        <v>295</v>
      </c>
      <c r="D122" s="106">
        <f>IFERROR(__xludf.DUMMYFUNCTION("""COMPUTED_VALUE"""),275.0)</f>
        <v>275</v>
      </c>
      <c r="E122" s="111">
        <f>IFERROR(__xludf.DUMMYFUNCTION("""COMPUTED_VALUE"""),255.0)</f>
        <v>255</v>
      </c>
      <c r="F122" s="111">
        <f>IFERROR(__xludf.DUMMYFUNCTION("""COMPUTED_VALUE"""),240.0)</f>
        <v>240</v>
      </c>
      <c r="G122" s="111">
        <f>IFERROR(__xludf.DUMMYFUNCTION("""COMPUTED_VALUE"""),225.0)</f>
        <v>225</v>
      </c>
      <c r="H122" s="111"/>
    </row>
    <row r="123">
      <c r="A123" s="115">
        <v>4.0</v>
      </c>
      <c r="B123" s="115" t="s">
        <v>57</v>
      </c>
      <c r="C123" s="82">
        <f t="shared" ref="C123:D123" si="35">(1000/C119+4.5)*1.35</f>
        <v>33.075</v>
      </c>
      <c r="D123" s="82">
        <f t="shared" si="35"/>
        <v>19.575</v>
      </c>
      <c r="E123" s="111"/>
      <c r="F123" s="111"/>
      <c r="G123" s="111"/>
      <c r="H123" s="111"/>
    </row>
    <row r="124">
      <c r="A124" s="119">
        <v>5.0</v>
      </c>
      <c r="B124" s="115" t="s">
        <v>58</v>
      </c>
      <c r="C124" s="118">
        <v>15.0</v>
      </c>
      <c r="D124" s="118">
        <v>15.0</v>
      </c>
      <c r="E124" s="111"/>
      <c r="F124" s="111"/>
      <c r="G124" s="111"/>
      <c r="H124" s="111"/>
    </row>
    <row r="125">
      <c r="A125" s="119">
        <v>6.0</v>
      </c>
      <c r="B125" s="115" t="s">
        <v>64</v>
      </c>
      <c r="C125" s="82">
        <f t="shared" ref="C125:D125" si="36">320*1.35</f>
        <v>432</v>
      </c>
      <c r="D125" s="82">
        <f t="shared" si="36"/>
        <v>432</v>
      </c>
      <c r="E125" s="111"/>
      <c r="F125" s="111"/>
      <c r="G125" s="111"/>
      <c r="H125" s="111"/>
    </row>
    <row r="126">
      <c r="A126" s="115">
        <v>7.0</v>
      </c>
      <c r="B126" s="115" t="s">
        <v>60</v>
      </c>
      <c r="C126" s="118">
        <v>10.0</v>
      </c>
      <c r="D126" s="118">
        <v>10.0</v>
      </c>
      <c r="E126" s="111"/>
      <c r="F126" s="111"/>
      <c r="G126" s="111"/>
      <c r="H126" s="111"/>
    </row>
    <row r="127">
      <c r="A127" s="111"/>
      <c r="B127" s="123" t="s">
        <v>65</v>
      </c>
      <c r="C127" s="7">
        <f t="shared" ref="C127:D127" si="37">SUM(C120:C126)</f>
        <v>1260.075</v>
      </c>
      <c r="D127" s="7">
        <f t="shared" si="37"/>
        <v>1201.575</v>
      </c>
      <c r="E127" s="111"/>
      <c r="F127" s="111"/>
      <c r="G127" s="111"/>
      <c r="H127" s="111"/>
    </row>
    <row r="128">
      <c r="A128" s="111"/>
      <c r="B128" s="123"/>
      <c r="C128" s="111"/>
      <c r="D128" s="111"/>
      <c r="E128" s="111"/>
      <c r="F128" s="111"/>
      <c r="G128" s="111"/>
      <c r="H128" s="111"/>
    </row>
    <row r="129">
      <c r="A129" s="111"/>
      <c r="B129" s="123"/>
      <c r="C129" s="111"/>
      <c r="D129" s="111"/>
      <c r="E129" s="111"/>
      <c r="F129" s="111"/>
      <c r="G129" s="111"/>
      <c r="H129" s="111"/>
    </row>
    <row r="130">
      <c r="A130" s="132" t="str">
        <f>IFERROR(__xludf.DUMMYFUNCTION("IMPORTRANGE(""1HkzfTg_x2lNlvG_oAmvAnugODRXnepM3bnsrF1TbIKU"", ""Папки и изделия из ПВХ!a107:f108"")"),"")</f>
        <v/>
      </c>
      <c r="B130" s="133" t="str">
        <f>IFERROR(__xludf.DUMMYFUNCTION("""COMPUTED_VALUE"""),"Штампы для тиснение")</f>
        <v>Штампы для тиснение</v>
      </c>
      <c r="C130" s="60" t="str">
        <f>IFERROR(__xludf.DUMMYFUNCTION("""COMPUTED_VALUE"""),"До 50х40 мм (Размер 1)")</f>
        <v>До 50х40 мм (Размер 1)</v>
      </c>
      <c r="D130" s="60" t="str">
        <f>IFERROR(__xludf.DUMMYFUNCTION("""COMPUTED_VALUE"""),"До 100х80 (Размер 2)")</f>
        <v>До 100х80 (Размер 2)</v>
      </c>
      <c r="E130" s="60" t="str">
        <f>IFERROR(__xludf.DUMMYFUNCTION("""COMPUTED_VALUE"""),"До 150х120 (Размер 3)")</f>
        <v>До 150х120 (Размер 3)</v>
      </c>
      <c r="F130" s="60" t="str">
        <f>IFERROR(__xludf.DUMMYFUNCTION("""COMPUTED_VALUE"""),"До 200х160 (Размер 4)")</f>
        <v>До 200х160 (Размер 4)</v>
      </c>
      <c r="G130" s="111"/>
      <c r="H130" s="111"/>
    </row>
    <row r="131">
      <c r="A131" s="135" t="str">
        <f>IFERROR(__xludf.DUMMYFUNCTION("""COMPUTED_VALUE"""),"ШТ-1 (2, 3, 4)")</f>
        <v>ШТ-1 (2, 3, 4)</v>
      </c>
      <c r="B131" s="137" t="str">
        <f>IFERROR(__xludf.DUMMYFUNCTION("""COMPUTED_VALUE"""),"Штамп для тиснения")</f>
        <v>Штамп для тиснения</v>
      </c>
      <c r="C131" s="137" t="str">
        <f>IFERROR(__xludf.DUMMYFUNCTION("""COMPUTED_VALUE"""),"3000 руб")</f>
        <v>3000 руб</v>
      </c>
      <c r="D131" s="137" t="str">
        <f>IFERROR(__xludf.DUMMYFUNCTION("""COMPUTED_VALUE"""),"6000 руб")</f>
        <v>6000 руб</v>
      </c>
      <c r="E131" s="137" t="str">
        <f>IFERROR(__xludf.DUMMYFUNCTION("""COMPUTED_VALUE"""),"12000 руб")</f>
        <v>12000 руб</v>
      </c>
      <c r="F131" s="137" t="str">
        <f>IFERROR(__xludf.DUMMYFUNCTION("""COMPUTED_VALUE"""),"20000 руб")</f>
        <v>20000 руб</v>
      </c>
      <c r="G131" s="111"/>
      <c r="H131" s="111"/>
    </row>
    <row r="135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</row>
    <row r="137">
      <c r="H137" s="111"/>
    </row>
    <row r="138">
      <c r="A138" s="113" t="s">
        <v>55</v>
      </c>
      <c r="B138" s="113" t="s">
        <v>104</v>
      </c>
      <c r="C138" s="114">
        <v>50.0</v>
      </c>
      <c r="D138" s="114">
        <v>100.0</v>
      </c>
      <c r="E138" s="114">
        <v>200.0</v>
      </c>
      <c r="F138" s="114">
        <v>300.0</v>
      </c>
      <c r="G138" s="114">
        <v>500.0</v>
      </c>
      <c r="H138" s="146"/>
    </row>
    <row r="139">
      <c r="A139" s="115">
        <v>1.0</v>
      </c>
      <c r="B139" s="116" t="str">
        <f>IFERROR(__xludf.DUMMYFUNCTION("IMPORTRANGE(""1HkzfTg_x2lNlvG_oAmvAnugODRXnepM3bnsrF1TbIKU"", ""Папки и изделия экокожа!b63:g63"")"),"Блокнот-планшет А6 с обложкой искусственная кожа, персонализация, 50 листов")</f>
        <v>Блокнот-планшет А6 с обложкой искусственная кожа, персонализация, 50 листов</v>
      </c>
      <c r="C139" s="106">
        <f>IFERROR(__xludf.DUMMYFUNCTION("""COMPUTED_VALUE"""),530.0)</f>
        <v>530</v>
      </c>
      <c r="D139" s="106">
        <f>IFERROR(__xludf.DUMMYFUNCTION("""COMPUTED_VALUE"""),480.0)</f>
        <v>480</v>
      </c>
      <c r="E139" s="106">
        <f>IFERROR(__xludf.DUMMYFUNCTION("""COMPUTED_VALUE"""),430.0)</f>
        <v>430</v>
      </c>
      <c r="F139" s="106">
        <f>IFERROR(__xludf.DUMMYFUNCTION("""COMPUTED_VALUE"""),380.0)</f>
        <v>380</v>
      </c>
      <c r="G139" s="106">
        <f>IFERROR(__xludf.DUMMYFUNCTION("""COMPUTED_VALUE"""),330.0)</f>
        <v>330</v>
      </c>
      <c r="H139" s="62"/>
    </row>
    <row r="140">
      <c r="A140" s="119">
        <v>2.0</v>
      </c>
      <c r="B140" s="116" t="str">
        <f>IFERROR(__xludf.DUMMYFUNCTION("IMPORTRANGE(""1HkzfTg_x2lNlvG_oAmvAnugODRXnepM3bnsrF1TbIKU"", ""Папки и изделия экокожа!b33:g33"")"),"Обложка для паспорта искусственная кожа с полноцветной печатью, дополнительные отделения,135х195 мм")</f>
        <v>Обложка для паспорта искусственная кожа с полноцветной печатью, дополнительные отделения,135х195 мм</v>
      </c>
      <c r="C140" s="106">
        <f>IFERROR(__xludf.DUMMYFUNCTION("""COMPUTED_VALUE"""),310.0)</f>
        <v>310</v>
      </c>
      <c r="D140" s="106">
        <f>IFERROR(__xludf.DUMMYFUNCTION("""COMPUTED_VALUE"""),290.0)</f>
        <v>290</v>
      </c>
      <c r="E140" s="106">
        <f>IFERROR(__xludf.DUMMYFUNCTION("""COMPUTED_VALUE"""),270.0)</f>
        <v>270</v>
      </c>
      <c r="F140" s="106">
        <f>IFERROR(__xludf.DUMMYFUNCTION("""COMPUTED_VALUE"""),255.0)</f>
        <v>255</v>
      </c>
      <c r="G140" s="106">
        <f>IFERROR(__xludf.DUMMYFUNCTION("""COMPUTED_VALUE"""),240.0)</f>
        <v>240</v>
      </c>
      <c r="H140" s="62"/>
    </row>
    <row r="141">
      <c r="A141" s="119">
        <v>3.0</v>
      </c>
      <c r="B141" s="126" t="str">
        <f>IFERROR(__xludf.DUMMYFUNCTION("IMPORTRANGE(""1HkzfTg_x2lNlvG_oAmvAnugODRXnepM3bnsrF1TbIKU"", ""Чехлы и футляры ЭкоКожа!b28:g28"")"),"Футляр - книжка для кредитных карт с четырьмя карманами, RFID блокиратор, экокожа c полноцветной печатью")</f>
        <v>Футляр - книжка для кредитных карт с четырьмя карманами, RFID блокиратор, экокожа c полноцветной печатью</v>
      </c>
      <c r="C141" s="106">
        <f>IFERROR(__xludf.DUMMYFUNCTION("""COMPUTED_VALUE"""),245.0)</f>
        <v>245</v>
      </c>
      <c r="D141" s="106">
        <f>IFERROR(__xludf.DUMMYFUNCTION("""COMPUTED_VALUE"""),240.0)</f>
        <v>240</v>
      </c>
      <c r="E141" s="106">
        <f>IFERROR(__xludf.DUMMYFUNCTION("""COMPUTED_VALUE"""),235.0)</f>
        <v>235</v>
      </c>
      <c r="F141" s="106">
        <f>IFERROR(__xludf.DUMMYFUNCTION("""COMPUTED_VALUE"""),225.0)</f>
        <v>225</v>
      </c>
      <c r="G141" s="106">
        <f>IFERROR(__xludf.DUMMYFUNCTION("""COMPUTED_VALUE"""),215.0)</f>
        <v>215</v>
      </c>
      <c r="H141" s="62"/>
    </row>
    <row r="142">
      <c r="A142" s="115">
        <v>4.0</v>
      </c>
      <c r="B142" s="115" t="s">
        <v>57</v>
      </c>
      <c r="C142" s="82">
        <f t="shared" ref="C142:G142" si="38">(1000/C138+4.5)*1.35</f>
        <v>33.075</v>
      </c>
      <c r="D142" s="82">
        <f t="shared" si="38"/>
        <v>19.575</v>
      </c>
      <c r="E142" s="82">
        <f t="shared" si="38"/>
        <v>12.825</v>
      </c>
      <c r="F142" s="82">
        <f t="shared" si="38"/>
        <v>10.575</v>
      </c>
      <c r="G142" s="82">
        <f t="shared" si="38"/>
        <v>8.775</v>
      </c>
      <c r="H142" s="7"/>
    </row>
    <row r="143">
      <c r="A143" s="119">
        <v>5.0</v>
      </c>
      <c r="B143" s="115" t="s">
        <v>58</v>
      </c>
      <c r="C143" s="118">
        <v>15.0</v>
      </c>
      <c r="D143" s="118">
        <v>15.0</v>
      </c>
      <c r="E143" s="118">
        <v>15.0</v>
      </c>
      <c r="F143" s="118">
        <v>15.0</v>
      </c>
      <c r="G143" s="118">
        <v>15.0</v>
      </c>
      <c r="H143" s="153"/>
    </row>
    <row r="144">
      <c r="A144" s="119">
        <v>6.0</v>
      </c>
      <c r="B144" s="115" t="s">
        <v>64</v>
      </c>
      <c r="C144" s="82">
        <f t="shared" ref="C144:D144" si="39">320*1.35</f>
        <v>432</v>
      </c>
      <c r="D144" s="82">
        <f t="shared" si="39"/>
        <v>432</v>
      </c>
      <c r="E144" s="82">
        <f t="shared" ref="E144:F144" si="40">300*1.35</f>
        <v>405</v>
      </c>
      <c r="F144" s="82">
        <f t="shared" si="40"/>
        <v>405</v>
      </c>
      <c r="G144" s="82">
        <f>290*1.35</f>
        <v>391.5</v>
      </c>
      <c r="H144" s="7"/>
    </row>
    <row r="145">
      <c r="A145" s="115">
        <v>7.0</v>
      </c>
      <c r="B145" s="115" t="s">
        <v>60</v>
      </c>
      <c r="C145" s="118">
        <v>10.0</v>
      </c>
      <c r="D145" s="118">
        <v>10.0</v>
      </c>
      <c r="E145" s="118">
        <v>10.0</v>
      </c>
      <c r="F145" s="118">
        <v>10.0</v>
      </c>
      <c r="G145" s="118">
        <v>10.0</v>
      </c>
      <c r="H145" s="153"/>
    </row>
    <row r="146">
      <c r="A146" s="111"/>
      <c r="B146" s="123" t="s">
        <v>65</v>
      </c>
      <c r="C146" s="7">
        <f t="shared" ref="C146:G146" si="41">SUM(C139:C145)</f>
        <v>1575.075</v>
      </c>
      <c r="D146" s="7">
        <f t="shared" si="41"/>
        <v>1486.575</v>
      </c>
      <c r="E146" s="7">
        <f t="shared" si="41"/>
        <v>1377.825</v>
      </c>
      <c r="F146" s="7">
        <f t="shared" si="41"/>
        <v>1300.575</v>
      </c>
      <c r="G146" s="7">
        <f t="shared" si="41"/>
        <v>1210.275</v>
      </c>
      <c r="H146" s="111"/>
    </row>
    <row r="147">
      <c r="H147" s="111"/>
    </row>
    <row r="148">
      <c r="H148" s="111"/>
    </row>
    <row r="149">
      <c r="A149" s="113" t="s">
        <v>55</v>
      </c>
      <c r="B149" s="113" t="s">
        <v>105</v>
      </c>
      <c r="C149" s="114">
        <v>50.0</v>
      </c>
      <c r="D149" s="114">
        <v>100.0</v>
      </c>
      <c r="E149" s="114">
        <v>200.0</v>
      </c>
      <c r="F149" s="114">
        <v>300.0</v>
      </c>
      <c r="G149" s="114">
        <v>500.0</v>
      </c>
      <c r="H149" s="146"/>
    </row>
    <row r="150">
      <c r="A150" s="115">
        <v>1.0</v>
      </c>
      <c r="B150" s="116" t="str">
        <f>IFERROR(__xludf.DUMMYFUNCTION("IMPORTRANGE(""1HkzfTg_x2lNlvG_oAmvAnugODRXnepM3bnsrF1TbIKU"", ""Папки и изделия экокожа!b62:g62"")"),"")</f>
        <v/>
      </c>
      <c r="C150" s="106" t="str">
        <f>IFERROR(__xludf.DUMMYFUNCTION("""COMPUTED_VALUE"""),"50 шт")</f>
        <v>50 шт</v>
      </c>
      <c r="D150" s="106" t="str">
        <f>IFERROR(__xludf.DUMMYFUNCTION("""COMPUTED_VALUE"""),"100 шт")</f>
        <v>100 шт</v>
      </c>
      <c r="E150" s="106" t="str">
        <f>IFERROR(__xludf.DUMMYFUNCTION("""COMPUTED_VALUE"""),"200 шт")</f>
        <v>200 шт</v>
      </c>
      <c r="F150" s="106" t="str">
        <f>IFERROR(__xludf.DUMMYFUNCTION("""COMPUTED_VALUE"""),"300 шт")</f>
        <v>300 шт</v>
      </c>
      <c r="G150" s="106" t="str">
        <f>IFERROR(__xludf.DUMMYFUNCTION("""COMPUTED_VALUE"""),"500 шт")</f>
        <v>500 шт</v>
      </c>
      <c r="H150" s="62"/>
    </row>
    <row r="151">
      <c r="A151" s="119">
        <v>2.0</v>
      </c>
      <c r="B151" s="116" t="str">
        <f>IFERROR(__xludf.DUMMYFUNCTION("IMPORTRANGE(""1HkzfTg_x2lNlvG_oAmvAnugODRXnepM3bnsrF1TbIKU"", ""Папки и изделия экокожа!b32:g32"")"),"Обложка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151" s="106">
        <f>IFERROR(__xludf.DUMMYFUNCTION("""COMPUTED_VALUE"""),260.0)</f>
        <v>260</v>
      </c>
      <c r="D151" s="106">
        <f>IFERROR(__xludf.DUMMYFUNCTION("""COMPUTED_VALUE"""),240.0)</f>
        <v>240</v>
      </c>
      <c r="E151" s="106">
        <f>IFERROR(__xludf.DUMMYFUNCTION("""COMPUTED_VALUE"""),220.0)</f>
        <v>220</v>
      </c>
      <c r="F151" s="106">
        <f>IFERROR(__xludf.DUMMYFUNCTION("""COMPUTED_VALUE"""),205.0)</f>
        <v>205</v>
      </c>
      <c r="G151" s="106">
        <f>IFERROR(__xludf.DUMMYFUNCTION("""COMPUTED_VALUE"""),190.0)</f>
        <v>190</v>
      </c>
      <c r="H151" s="62"/>
    </row>
    <row r="152">
      <c r="A152" s="119">
        <v>3.0</v>
      </c>
      <c r="B152" s="126" t="str">
        <f>IFERROR(__xludf.DUMMYFUNCTION("IMPORTRANGE(""1HkzfTg_x2lNlvG_oAmvAnugODRXnepM3bnsrF1TbIKU"", ""Чехлы и футляры ЭкоКожа!b17:g17"")"),"Футляр - книжка для кредитных карт с четырьмя карманами, RFID блокиратор, экокожа с персонализацией")</f>
        <v>Футляр - книжка для кредитных карт с четырьмя карманами, RFID блокиратор, экокожа с персонализацией</v>
      </c>
      <c r="C152" s="106">
        <f>IFERROR(__xludf.DUMMYFUNCTION("""COMPUTED_VALUE"""),215.0)</f>
        <v>215</v>
      </c>
      <c r="D152" s="106">
        <f>IFERROR(__xludf.DUMMYFUNCTION("""COMPUTED_VALUE"""),210.0)</f>
        <v>210</v>
      </c>
      <c r="E152" s="106">
        <f>IFERROR(__xludf.DUMMYFUNCTION("""COMPUTED_VALUE"""),205.0)</f>
        <v>205</v>
      </c>
      <c r="F152" s="106">
        <f>IFERROR(__xludf.DUMMYFUNCTION("""COMPUTED_VALUE"""),195.0)</f>
        <v>195</v>
      </c>
      <c r="G152" s="106">
        <f>IFERROR(__xludf.DUMMYFUNCTION("""COMPUTED_VALUE"""),185.0)</f>
        <v>185</v>
      </c>
      <c r="H152" s="62"/>
    </row>
    <row r="153">
      <c r="A153" s="115">
        <v>4.0</v>
      </c>
      <c r="B153" s="115" t="s">
        <v>57</v>
      </c>
      <c r="C153" s="82">
        <f t="shared" ref="C153:G153" si="42">(1000/C149+4.5)*1.35</f>
        <v>33.075</v>
      </c>
      <c r="D153" s="82">
        <f t="shared" si="42"/>
        <v>19.575</v>
      </c>
      <c r="E153" s="82">
        <f t="shared" si="42"/>
        <v>12.825</v>
      </c>
      <c r="F153" s="82">
        <f t="shared" si="42"/>
        <v>10.575</v>
      </c>
      <c r="G153" s="82">
        <f t="shared" si="42"/>
        <v>8.775</v>
      </c>
      <c r="H153" s="7"/>
    </row>
    <row r="154">
      <c r="A154" s="119">
        <v>5.0</v>
      </c>
      <c r="B154" s="115" t="s">
        <v>58</v>
      </c>
      <c r="C154" s="118">
        <v>15.0</v>
      </c>
      <c r="D154" s="118">
        <v>15.0</v>
      </c>
      <c r="E154" s="118">
        <v>15.0</v>
      </c>
      <c r="F154" s="118">
        <v>15.0</v>
      </c>
      <c r="G154" s="118">
        <v>15.0</v>
      </c>
      <c r="H154" s="153"/>
    </row>
    <row r="155">
      <c r="A155" s="119">
        <v>6.0</v>
      </c>
      <c r="B155" s="115" t="s">
        <v>64</v>
      </c>
      <c r="C155" s="82">
        <f t="shared" ref="C155:D155" si="43">320*1.35</f>
        <v>432</v>
      </c>
      <c r="D155" s="82">
        <f t="shared" si="43"/>
        <v>432</v>
      </c>
      <c r="E155" s="82">
        <f t="shared" ref="E155:F155" si="44">300*1.35</f>
        <v>405</v>
      </c>
      <c r="F155" s="82">
        <f t="shared" si="44"/>
        <v>405</v>
      </c>
      <c r="G155" s="82">
        <f>290*1.35</f>
        <v>391.5</v>
      </c>
      <c r="H155" s="7"/>
    </row>
    <row r="156">
      <c r="A156" s="115">
        <v>7.0</v>
      </c>
      <c r="B156" s="115" t="s">
        <v>60</v>
      </c>
      <c r="C156" s="118">
        <v>10.0</v>
      </c>
      <c r="D156" s="118">
        <v>10.0</v>
      </c>
      <c r="E156" s="118">
        <v>10.0</v>
      </c>
      <c r="F156" s="118">
        <v>10.0</v>
      </c>
      <c r="G156" s="118">
        <v>10.0</v>
      </c>
      <c r="H156" s="153"/>
    </row>
    <row r="157">
      <c r="A157" s="111"/>
      <c r="B157" s="123" t="s">
        <v>65</v>
      </c>
      <c r="C157" s="7">
        <f t="shared" ref="C157:G157" si="45">SUM(C150:C156)</f>
        <v>965.075</v>
      </c>
      <c r="D157" s="7">
        <f t="shared" si="45"/>
        <v>926.575</v>
      </c>
      <c r="E157" s="7">
        <f t="shared" si="45"/>
        <v>867.825</v>
      </c>
      <c r="F157" s="7">
        <f t="shared" si="45"/>
        <v>840.575</v>
      </c>
      <c r="G157" s="7">
        <f t="shared" si="45"/>
        <v>800.275</v>
      </c>
      <c r="H157" s="111"/>
    </row>
    <row r="160">
      <c r="A160" s="132" t="str">
        <f>IFERROR(__xludf.DUMMYFUNCTION("IMPORTRANGE(""1HkzfTg_x2lNlvG_oAmvAnugODRXnepM3bnsrF1TbIKU"", ""Папки и изделия из ПВХ!a107:f108"")"),"")</f>
        <v/>
      </c>
      <c r="B160" s="133" t="str">
        <f>IFERROR(__xludf.DUMMYFUNCTION("""COMPUTED_VALUE"""),"Штампы для тиснение")</f>
        <v>Штампы для тиснение</v>
      </c>
      <c r="C160" s="60" t="str">
        <f>IFERROR(__xludf.DUMMYFUNCTION("""COMPUTED_VALUE"""),"До 50х40 мм (Размер 1)")</f>
        <v>До 50х40 мм (Размер 1)</v>
      </c>
      <c r="D160" s="60" t="str">
        <f>IFERROR(__xludf.DUMMYFUNCTION("""COMPUTED_VALUE"""),"До 100х80 (Размер 2)")</f>
        <v>До 100х80 (Размер 2)</v>
      </c>
      <c r="E160" s="60" t="str">
        <f>IFERROR(__xludf.DUMMYFUNCTION("""COMPUTED_VALUE"""),"До 150х120 (Размер 3)")</f>
        <v>До 150х120 (Размер 3)</v>
      </c>
      <c r="F160" s="60" t="str">
        <f>IFERROR(__xludf.DUMMYFUNCTION("""COMPUTED_VALUE"""),"До 200х160 (Размер 4)")</f>
        <v>До 200х160 (Размер 4)</v>
      </c>
    </row>
    <row r="161">
      <c r="A161" s="135" t="str">
        <f>IFERROR(__xludf.DUMMYFUNCTION("""COMPUTED_VALUE"""),"ШТ-1 (2, 3, 4)")</f>
        <v>ШТ-1 (2, 3, 4)</v>
      </c>
      <c r="B161" s="137" t="str">
        <f>IFERROR(__xludf.DUMMYFUNCTION("""COMPUTED_VALUE"""),"Штамп для тиснения")</f>
        <v>Штамп для тиснения</v>
      </c>
      <c r="C161" s="137" t="str">
        <f>IFERROR(__xludf.DUMMYFUNCTION("""COMPUTED_VALUE"""),"3000 руб")</f>
        <v>3000 руб</v>
      </c>
      <c r="D161" s="137" t="str">
        <f>IFERROR(__xludf.DUMMYFUNCTION("""COMPUTED_VALUE"""),"6000 руб")</f>
        <v>6000 руб</v>
      </c>
      <c r="E161" s="137" t="str">
        <f>IFERROR(__xludf.DUMMYFUNCTION("""COMPUTED_VALUE"""),"12000 руб")</f>
        <v>12000 руб</v>
      </c>
      <c r="F161" s="137" t="str">
        <f>IFERROR(__xludf.DUMMYFUNCTION("""COMPUTED_VALUE"""),"20000 руб")</f>
        <v>20000 руб</v>
      </c>
    </row>
    <row r="165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</row>
    <row r="169">
      <c r="A169" s="113" t="s">
        <v>55</v>
      </c>
      <c r="B169" s="113" t="s">
        <v>109</v>
      </c>
      <c r="C169" s="114">
        <v>50.0</v>
      </c>
      <c r="D169" s="114">
        <v>100.0</v>
      </c>
      <c r="E169" s="114">
        <v>200.0</v>
      </c>
      <c r="F169" s="114">
        <v>300.0</v>
      </c>
      <c r="G169" s="114">
        <v>500.0</v>
      </c>
      <c r="H169" s="180"/>
    </row>
    <row r="170">
      <c r="A170" s="115">
        <v>1.0</v>
      </c>
      <c r="B170" s="116" t="str">
        <f>IFERROR(__xludf.DUMMYFUNCTION("IMPORTRANGE(""1HkzfTg_x2lNlvG_oAmvAnugODRXnepM3bnsrF1TbIKU"", ""Папки и изделия экокожа!b63:g63"")"),"Блокнот-планшет А6 с обложкой искусственная кожа, персонализация, 50 листов")</f>
        <v>Блокнот-планшет А6 с обложкой искусственная кожа, персонализация, 50 листов</v>
      </c>
      <c r="C170" s="106">
        <f>IFERROR(__xludf.DUMMYFUNCTION("""COMPUTED_VALUE"""),530.0)</f>
        <v>530</v>
      </c>
      <c r="D170" s="106">
        <f>IFERROR(__xludf.DUMMYFUNCTION("""COMPUTED_VALUE"""),480.0)</f>
        <v>480</v>
      </c>
      <c r="E170" s="106">
        <f>IFERROR(__xludf.DUMMYFUNCTION("""COMPUTED_VALUE"""),430.0)</f>
        <v>430</v>
      </c>
      <c r="F170" s="106">
        <f>IFERROR(__xludf.DUMMYFUNCTION("""COMPUTED_VALUE"""),380.0)</f>
        <v>380</v>
      </c>
      <c r="G170" s="106">
        <f>IFERROR(__xludf.DUMMYFUNCTION("""COMPUTED_VALUE"""),330.0)</f>
        <v>330</v>
      </c>
      <c r="H170" s="62"/>
    </row>
    <row r="171">
      <c r="A171" s="119">
        <v>2.0</v>
      </c>
      <c r="B171" s="116" t="str">
        <f>IFERROR(__xludf.DUMMYFUNCTION("IMPORTRANGE(""1HkzfTg_x2lNlvG_oAmvAnugODRXnepM3bnsrF1TbIKU"", ""Папки и изделия экокожа!b32:g32"")"),"Обложка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171" s="106">
        <f>IFERROR(__xludf.DUMMYFUNCTION("""COMPUTED_VALUE"""),260.0)</f>
        <v>260</v>
      </c>
      <c r="D171" s="106">
        <f>IFERROR(__xludf.DUMMYFUNCTION("""COMPUTED_VALUE"""),240.0)</f>
        <v>240</v>
      </c>
      <c r="E171" s="106">
        <f>IFERROR(__xludf.DUMMYFUNCTION("""COMPUTED_VALUE"""),220.0)</f>
        <v>220</v>
      </c>
      <c r="F171" s="106">
        <f>IFERROR(__xludf.DUMMYFUNCTION("""COMPUTED_VALUE"""),205.0)</f>
        <v>205</v>
      </c>
      <c r="G171" s="106">
        <f>IFERROR(__xludf.DUMMYFUNCTION("""COMPUTED_VALUE"""),190.0)</f>
        <v>190</v>
      </c>
      <c r="H171" s="62"/>
    </row>
    <row r="172">
      <c r="A172" s="119">
        <v>3.0</v>
      </c>
      <c r="B172" s="126" t="str">
        <f>IFERROR(__xludf.DUMMYFUNCTION("IMPORTRANGE(""1HkzfTg_x2lNlvG_oAmvAnugODRXnepM3bnsrF1TbIKU"", ""Чехлы и футляры ЭкоКожа!b26:g26"")"),"Чехол вертикальный c дополнительным карманом для пластиковой карты с  RFID блокиратором, Экокожа с Флок подложкой, полноцветная печать")</f>
        <v>Чехол вертикальный c дополнительным карманом для пластиковой карты с  RFID блокиратором, Экокожа с Флок подложкой, полноцветная печать</v>
      </c>
      <c r="C172" s="106">
        <f>IFERROR(__xludf.DUMMYFUNCTION("""COMPUTED_VALUE"""),145.0)</f>
        <v>145</v>
      </c>
      <c r="D172" s="106">
        <f>IFERROR(__xludf.DUMMYFUNCTION("""COMPUTED_VALUE"""),140.0)</f>
        <v>140</v>
      </c>
      <c r="E172" s="106">
        <f>IFERROR(__xludf.DUMMYFUNCTION("""COMPUTED_VALUE"""),130.0)</f>
        <v>130</v>
      </c>
      <c r="F172" s="106">
        <f>IFERROR(__xludf.DUMMYFUNCTION("""COMPUTED_VALUE"""),125.0)</f>
        <v>125</v>
      </c>
      <c r="G172" s="106">
        <f>IFERROR(__xludf.DUMMYFUNCTION("""COMPUTED_VALUE"""),115.0)</f>
        <v>115</v>
      </c>
      <c r="H172" s="62"/>
    </row>
    <row r="173">
      <c r="A173" s="115">
        <v>4.0</v>
      </c>
      <c r="B173" s="115" t="s">
        <v>57</v>
      </c>
      <c r="C173" s="82">
        <f t="shared" ref="C173:G173" si="46">(1000/C169+4.5)*1.35</f>
        <v>33.075</v>
      </c>
      <c r="D173" s="82">
        <f t="shared" si="46"/>
        <v>19.575</v>
      </c>
      <c r="E173" s="82">
        <f t="shared" si="46"/>
        <v>12.825</v>
      </c>
      <c r="F173" s="82">
        <f t="shared" si="46"/>
        <v>10.575</v>
      </c>
      <c r="G173" s="82">
        <f t="shared" si="46"/>
        <v>8.775</v>
      </c>
      <c r="H173" s="7"/>
    </row>
    <row r="174">
      <c r="A174" s="119">
        <v>5.0</v>
      </c>
      <c r="B174" s="115" t="s">
        <v>58</v>
      </c>
      <c r="C174" s="118">
        <v>15.0</v>
      </c>
      <c r="D174" s="118">
        <v>15.0</v>
      </c>
      <c r="E174" s="118">
        <v>15.0</v>
      </c>
      <c r="F174" s="118">
        <v>15.0</v>
      </c>
      <c r="G174" s="118">
        <v>15.0</v>
      </c>
      <c r="H174" s="153"/>
    </row>
    <row r="175">
      <c r="A175" s="119">
        <v>6.0</v>
      </c>
      <c r="B175" s="115" t="s">
        <v>64</v>
      </c>
      <c r="C175" s="82">
        <f t="shared" ref="C175:D175" si="47">320*1.35</f>
        <v>432</v>
      </c>
      <c r="D175" s="82">
        <f t="shared" si="47"/>
        <v>432</v>
      </c>
      <c r="E175" s="82">
        <f t="shared" ref="E175:F175" si="48">300*1.35</f>
        <v>405</v>
      </c>
      <c r="F175" s="82">
        <f t="shared" si="48"/>
        <v>405</v>
      </c>
      <c r="G175" s="82">
        <f>290*1.35</f>
        <v>391.5</v>
      </c>
      <c r="H175" s="7"/>
    </row>
    <row r="176">
      <c r="A176" s="115">
        <v>7.0</v>
      </c>
      <c r="B176" s="115" t="s">
        <v>60</v>
      </c>
      <c r="C176" s="118">
        <v>10.0</v>
      </c>
      <c r="D176" s="118">
        <v>10.0</v>
      </c>
      <c r="E176" s="118">
        <v>10.0</v>
      </c>
      <c r="F176" s="118">
        <v>10.0</v>
      </c>
      <c r="G176" s="118">
        <v>10.0</v>
      </c>
      <c r="H176" s="153"/>
    </row>
    <row r="177">
      <c r="A177" s="111"/>
      <c r="B177" s="123" t="s">
        <v>65</v>
      </c>
      <c r="C177" s="7">
        <f t="shared" ref="C177:G177" si="49">SUM(C170:C176)</f>
        <v>1425.075</v>
      </c>
      <c r="D177" s="7">
        <f t="shared" si="49"/>
        <v>1336.575</v>
      </c>
      <c r="E177" s="7">
        <f t="shared" si="49"/>
        <v>1222.825</v>
      </c>
      <c r="F177" s="7">
        <f t="shared" si="49"/>
        <v>1150.575</v>
      </c>
      <c r="G177" s="7">
        <f t="shared" si="49"/>
        <v>1060.275</v>
      </c>
      <c r="H177" s="111"/>
    </row>
    <row r="180">
      <c r="A180" s="113" t="s">
        <v>55</v>
      </c>
      <c r="B180" s="113" t="s">
        <v>111</v>
      </c>
      <c r="C180" s="114">
        <v>50.0</v>
      </c>
      <c r="D180" s="114">
        <v>100.0</v>
      </c>
      <c r="E180" s="114">
        <v>200.0</v>
      </c>
      <c r="F180" s="114">
        <v>300.0</v>
      </c>
      <c r="G180" s="114">
        <v>500.0</v>
      </c>
      <c r="H180" s="180"/>
    </row>
    <row r="181">
      <c r="A181" s="115">
        <v>1.0</v>
      </c>
      <c r="B181" s="116" t="str">
        <f>IFERROR(__xludf.DUMMYFUNCTION("IMPORTRANGE(""1HkzfTg_x2lNlvG_oAmvAnugODRXnepM3bnsrF1TbIKU"", ""Папки и изделия экокожа!b59:g59"")"),"")</f>
        <v/>
      </c>
      <c r="C181" s="106" t="str">
        <f>IFERROR(__xludf.DUMMYFUNCTION("""COMPUTED_VALUE"""),"50 шт")</f>
        <v>50 шт</v>
      </c>
      <c r="D181" s="106" t="str">
        <f>IFERROR(__xludf.DUMMYFUNCTION("""COMPUTED_VALUE"""),"100 шт")</f>
        <v>100 шт</v>
      </c>
      <c r="E181" s="106" t="str">
        <f>IFERROR(__xludf.DUMMYFUNCTION("""COMPUTED_VALUE"""),"200 шт")</f>
        <v>200 шт</v>
      </c>
      <c r="F181" s="106" t="str">
        <f>IFERROR(__xludf.DUMMYFUNCTION("""COMPUTED_VALUE"""),"300 шт")</f>
        <v>300 шт</v>
      </c>
      <c r="G181" s="106" t="str">
        <f>IFERROR(__xludf.DUMMYFUNCTION("""COMPUTED_VALUE"""),"500 шт")</f>
        <v>500 шт</v>
      </c>
      <c r="H181" s="62"/>
    </row>
    <row r="182">
      <c r="A182" s="119">
        <v>2.0</v>
      </c>
      <c r="B182" s="116" t="str">
        <f>IFERROR(__xludf.DUMMYFUNCTION("IMPORTRANGE(""1HkzfTg_x2lNlvG_oAmvAnugODRXnepM3bnsrF1TbIKU"", ""Папки и изделия экокожа!b32:g32"")"),"Обложка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182" s="106">
        <f>IFERROR(__xludf.DUMMYFUNCTION("""COMPUTED_VALUE"""),260.0)</f>
        <v>260</v>
      </c>
      <c r="D182" s="106">
        <f>IFERROR(__xludf.DUMMYFUNCTION("""COMPUTED_VALUE"""),240.0)</f>
        <v>240</v>
      </c>
      <c r="E182" s="106">
        <f>IFERROR(__xludf.DUMMYFUNCTION("""COMPUTED_VALUE"""),220.0)</f>
        <v>220</v>
      </c>
      <c r="F182" s="106">
        <f>IFERROR(__xludf.DUMMYFUNCTION("""COMPUTED_VALUE"""),205.0)</f>
        <v>205</v>
      </c>
      <c r="G182" s="106">
        <f>IFERROR(__xludf.DUMMYFUNCTION("""COMPUTED_VALUE"""),190.0)</f>
        <v>190</v>
      </c>
      <c r="H182" s="62"/>
    </row>
    <row r="183">
      <c r="A183" s="119">
        <v>3.0</v>
      </c>
      <c r="B183" s="126" t="str">
        <f>IFERROR(__xludf.DUMMYFUNCTION("IMPORTRANGE(""1HkzfTg_x2lNlvG_oAmvAnugODRXnepM3bnsrF1TbIKU"", ""Чехлы и футляры ЭкоКожа!b15:g15"")"),"Чехол вертикальный c дополнительным карманом для пластиковой карты с  RFID блокиратором, Экокожа с Флок подложкой и персонализацией")</f>
        <v>Чехол вертикальный c дополнительным карманом для пластиковой карты с  RFID блокиратором, Экокожа с Флок подложкой и персонализацией</v>
      </c>
      <c r="C183" s="106">
        <f>IFERROR(__xludf.DUMMYFUNCTION("""COMPUTED_VALUE"""),130.0)</f>
        <v>130</v>
      </c>
      <c r="D183" s="106">
        <f>IFERROR(__xludf.DUMMYFUNCTION("""COMPUTED_VALUE"""),120.0)</f>
        <v>120</v>
      </c>
      <c r="E183" s="106">
        <f>IFERROR(__xludf.DUMMYFUNCTION("""COMPUTED_VALUE"""),115.0)</f>
        <v>115</v>
      </c>
      <c r="F183" s="106">
        <f>IFERROR(__xludf.DUMMYFUNCTION("""COMPUTED_VALUE"""),110.0)</f>
        <v>110</v>
      </c>
      <c r="G183" s="106">
        <f>IFERROR(__xludf.DUMMYFUNCTION("""COMPUTED_VALUE"""),100.0)</f>
        <v>100</v>
      </c>
      <c r="H183" s="62"/>
    </row>
    <row r="184">
      <c r="A184" s="115">
        <v>4.0</v>
      </c>
      <c r="B184" s="115" t="s">
        <v>57</v>
      </c>
      <c r="C184" s="82">
        <f t="shared" ref="C184:G184" si="50">(1000/C180+4.5)*1.35</f>
        <v>33.075</v>
      </c>
      <c r="D184" s="82">
        <f t="shared" si="50"/>
        <v>19.575</v>
      </c>
      <c r="E184" s="82">
        <f t="shared" si="50"/>
        <v>12.825</v>
      </c>
      <c r="F184" s="82">
        <f t="shared" si="50"/>
        <v>10.575</v>
      </c>
      <c r="G184" s="82">
        <f t="shared" si="50"/>
        <v>8.775</v>
      </c>
      <c r="H184" s="7"/>
    </row>
    <row r="185">
      <c r="A185" s="119">
        <v>5.0</v>
      </c>
      <c r="B185" s="115" t="s">
        <v>58</v>
      </c>
      <c r="C185" s="118">
        <v>15.0</v>
      </c>
      <c r="D185" s="118">
        <v>15.0</v>
      </c>
      <c r="E185" s="118">
        <v>15.0</v>
      </c>
      <c r="F185" s="118">
        <v>15.0</v>
      </c>
      <c r="G185" s="118">
        <v>15.0</v>
      </c>
      <c r="H185" s="153"/>
    </row>
    <row r="186">
      <c r="A186" s="119">
        <v>6.0</v>
      </c>
      <c r="B186" s="115" t="s">
        <v>64</v>
      </c>
      <c r="C186" s="82">
        <f t="shared" ref="C186:D186" si="51">320*1.35</f>
        <v>432</v>
      </c>
      <c r="D186" s="82">
        <f t="shared" si="51"/>
        <v>432</v>
      </c>
      <c r="E186" s="82">
        <f t="shared" ref="E186:F186" si="52">300*1.35</f>
        <v>405</v>
      </c>
      <c r="F186" s="82">
        <f t="shared" si="52"/>
        <v>405</v>
      </c>
      <c r="G186" s="82">
        <f>290*1.35</f>
        <v>391.5</v>
      </c>
      <c r="H186" s="7"/>
    </row>
    <row r="187">
      <c r="A187" s="115">
        <v>7.0</v>
      </c>
      <c r="B187" s="115" t="s">
        <v>60</v>
      </c>
      <c r="C187" s="118">
        <v>10.0</v>
      </c>
      <c r="D187" s="118">
        <v>10.0</v>
      </c>
      <c r="E187" s="118">
        <v>10.0</v>
      </c>
      <c r="F187" s="118">
        <v>10.0</v>
      </c>
      <c r="G187" s="118">
        <v>10.0</v>
      </c>
      <c r="H187" s="153"/>
    </row>
    <row r="188">
      <c r="A188" s="111"/>
      <c r="B188" s="123" t="s">
        <v>65</v>
      </c>
      <c r="C188" s="7">
        <f t="shared" ref="C188:G188" si="53">SUM(C181:C187)</f>
        <v>880.075</v>
      </c>
      <c r="D188" s="7">
        <f t="shared" si="53"/>
        <v>836.575</v>
      </c>
      <c r="E188" s="7">
        <f t="shared" si="53"/>
        <v>777.825</v>
      </c>
      <c r="F188" s="7">
        <f t="shared" si="53"/>
        <v>755.575</v>
      </c>
      <c r="G188" s="7">
        <f t="shared" si="53"/>
        <v>715.275</v>
      </c>
      <c r="H188" s="111"/>
    </row>
    <row r="191">
      <c r="A191" s="132" t="str">
        <f>IFERROR(__xludf.DUMMYFUNCTION("IMPORTRANGE(""1HkzfTg_x2lNlvG_oAmvAnugODRXnepM3bnsrF1TbIKU"", ""Папки и изделия из ПВХ!a107:f108"")"),"")</f>
        <v/>
      </c>
      <c r="B191" s="133" t="str">
        <f>IFERROR(__xludf.DUMMYFUNCTION("""COMPUTED_VALUE"""),"Штампы для тиснение")</f>
        <v>Штампы для тиснение</v>
      </c>
      <c r="C191" s="60" t="str">
        <f>IFERROR(__xludf.DUMMYFUNCTION("""COMPUTED_VALUE"""),"До 50х40 мм (Размер 1)")</f>
        <v>До 50х40 мм (Размер 1)</v>
      </c>
      <c r="D191" s="60" t="str">
        <f>IFERROR(__xludf.DUMMYFUNCTION("""COMPUTED_VALUE"""),"До 100х80 (Размер 2)")</f>
        <v>До 100х80 (Размер 2)</v>
      </c>
      <c r="E191" s="60" t="str">
        <f>IFERROR(__xludf.DUMMYFUNCTION("""COMPUTED_VALUE"""),"До 150х120 (Размер 3)")</f>
        <v>До 150х120 (Размер 3)</v>
      </c>
      <c r="F191" s="60" t="str">
        <f>IFERROR(__xludf.DUMMYFUNCTION("""COMPUTED_VALUE"""),"До 200х160 (Размер 4)")</f>
        <v>До 200х160 (Размер 4)</v>
      </c>
    </row>
    <row r="192">
      <c r="A192" s="135" t="str">
        <f>IFERROR(__xludf.DUMMYFUNCTION("""COMPUTED_VALUE"""),"ШТ-1 (2, 3, 4)")</f>
        <v>ШТ-1 (2, 3, 4)</v>
      </c>
      <c r="B192" s="137" t="str">
        <f>IFERROR(__xludf.DUMMYFUNCTION("""COMPUTED_VALUE"""),"Штамп для тиснения")</f>
        <v>Штамп для тиснения</v>
      </c>
      <c r="C192" s="137" t="str">
        <f>IFERROR(__xludf.DUMMYFUNCTION("""COMPUTED_VALUE"""),"3000 руб")</f>
        <v>3000 руб</v>
      </c>
      <c r="D192" s="137" t="str">
        <f>IFERROR(__xludf.DUMMYFUNCTION("""COMPUTED_VALUE"""),"6000 руб")</f>
        <v>6000 руб</v>
      </c>
      <c r="E192" s="137" t="str">
        <f>IFERROR(__xludf.DUMMYFUNCTION("""COMPUTED_VALUE"""),"12000 руб")</f>
        <v>12000 руб</v>
      </c>
      <c r="F192" s="137" t="str">
        <f>IFERROR(__xludf.DUMMYFUNCTION("""COMPUTED_VALUE"""),"20000 руб")</f>
        <v>20000 руб</v>
      </c>
    </row>
    <row r="196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</row>
    <row r="199">
      <c r="A199" s="113" t="s">
        <v>55</v>
      </c>
      <c r="B199" s="113" t="s">
        <v>113</v>
      </c>
      <c r="C199" s="114">
        <v>50.0</v>
      </c>
      <c r="D199" s="114">
        <v>100.0</v>
      </c>
      <c r="E199" s="114">
        <v>200.0</v>
      </c>
      <c r="F199" s="114">
        <v>300.0</v>
      </c>
      <c r="G199" s="114">
        <v>500.0</v>
      </c>
      <c r="H199" s="180"/>
    </row>
    <row r="200">
      <c r="A200" s="115">
        <v>1.0</v>
      </c>
      <c r="B200" s="116" t="str">
        <f>IFERROR(__xludf.DUMMYFUNCTION("IMPORTRANGE(""1HkzfTg_x2lNlvG_oAmvAnugODRXnepM3bnsrF1TbIKU"", ""Папки и изделия экокожа!b44:g44"")"),"Органайзер для путешественника искусственная кожа с полноцветной печатью, дополнительные отделения, 98х215")</f>
        <v>Органайзер для путешественника искусственная кожа с полноцветной печатью, дополнительные отделения, 98х215</v>
      </c>
      <c r="C200" s="106">
        <f>IFERROR(__xludf.DUMMYFUNCTION("""COMPUTED_VALUE"""),345.0)</f>
        <v>345</v>
      </c>
      <c r="D200" s="106">
        <f>IFERROR(__xludf.DUMMYFUNCTION("""COMPUTED_VALUE"""),325.0)</f>
        <v>325</v>
      </c>
      <c r="E200" s="106">
        <f>IFERROR(__xludf.DUMMYFUNCTION("""COMPUTED_VALUE"""),305.0)</f>
        <v>305</v>
      </c>
      <c r="F200" s="106">
        <f>IFERROR(__xludf.DUMMYFUNCTION("""COMPUTED_VALUE"""),290.0)</f>
        <v>290</v>
      </c>
      <c r="G200" s="106">
        <f>IFERROR(__xludf.DUMMYFUNCTION("""COMPUTED_VALUE"""),275.0)</f>
        <v>275</v>
      </c>
      <c r="H200" s="62"/>
    </row>
    <row r="201">
      <c r="A201" s="119">
        <v>2.0</v>
      </c>
      <c r="B201" s="116" t="str">
        <f>IFERROR(__xludf.DUMMYFUNCTION("IMPORTRANGE(""1HkzfTg_x2lNlvG_oAmvAnugODRXnepM3bnsrF1TbIKU"", ""Папки и изделия экокожа!b49:g49"")"),"Багажная бирка искусственная кожа с персонализацией")</f>
        <v>Багажная бирка искусственная кожа с персонализацией</v>
      </c>
      <c r="C201" s="106">
        <f>IFERROR(__xludf.DUMMYFUNCTION("""COMPUTED_VALUE"""),130.0)</f>
        <v>130</v>
      </c>
      <c r="D201" s="106">
        <f>IFERROR(__xludf.DUMMYFUNCTION("""COMPUTED_VALUE"""),125.0)</f>
        <v>125</v>
      </c>
      <c r="E201" s="106">
        <f>IFERROR(__xludf.DUMMYFUNCTION("""COMPUTED_VALUE"""),120.0)</f>
        <v>120</v>
      </c>
      <c r="F201" s="106">
        <f>IFERROR(__xludf.DUMMYFUNCTION("""COMPUTED_VALUE"""),115.0)</f>
        <v>115</v>
      </c>
      <c r="G201" s="106">
        <f>IFERROR(__xludf.DUMMYFUNCTION("""COMPUTED_VALUE"""),105.0)</f>
        <v>105</v>
      </c>
      <c r="H201" s="62"/>
    </row>
    <row r="202">
      <c r="A202" s="119">
        <v>3.0</v>
      </c>
      <c r="B202" s="126" t="str">
        <f>IFERROR(__xludf.DUMMYFUNCTION("IMPORTRANGE(""1HkzfTg_x2lNlvG_oAmvAnugODRXnepM3bnsrF1TbIKU"", ""Чехлы и футляры ЭкоКожа!b27:g27"")"),"Футляр для кредитных карт с тремя карманами, RFID блокиратор, экокожа c полноцветной печатью")</f>
        <v>Футляр для кредитных карт с тремя карманами, RFID блокиратор, экокожа c полноцветной печатью</v>
      </c>
      <c r="C202" s="106">
        <f>IFERROR(__xludf.DUMMYFUNCTION("""COMPUTED_VALUE"""),195.0)</f>
        <v>195</v>
      </c>
      <c r="D202" s="106">
        <f>IFERROR(__xludf.DUMMYFUNCTION("""COMPUTED_VALUE"""),190.0)</f>
        <v>190</v>
      </c>
      <c r="E202" s="106">
        <f>IFERROR(__xludf.DUMMYFUNCTION("""COMPUTED_VALUE"""),185.0)</f>
        <v>185</v>
      </c>
      <c r="F202" s="106">
        <f>IFERROR(__xludf.DUMMYFUNCTION("""COMPUTED_VALUE"""),180.0)</f>
        <v>180</v>
      </c>
      <c r="G202" s="106">
        <f>IFERROR(__xludf.DUMMYFUNCTION("""COMPUTED_VALUE"""),170.0)</f>
        <v>170</v>
      </c>
      <c r="H202" s="62"/>
    </row>
    <row r="203">
      <c r="A203" s="115">
        <v>4.0</v>
      </c>
      <c r="B203" s="115" t="s">
        <v>57</v>
      </c>
      <c r="C203" s="82">
        <f t="shared" ref="C203:G203" si="54">(1000/C199+4.5)*1.35</f>
        <v>33.075</v>
      </c>
      <c r="D203" s="82">
        <f t="shared" si="54"/>
        <v>19.575</v>
      </c>
      <c r="E203" s="82">
        <f t="shared" si="54"/>
        <v>12.825</v>
      </c>
      <c r="F203" s="82">
        <f t="shared" si="54"/>
        <v>10.575</v>
      </c>
      <c r="G203" s="82">
        <f t="shared" si="54"/>
        <v>8.775</v>
      </c>
      <c r="H203" s="7"/>
    </row>
    <row r="204">
      <c r="A204" s="119">
        <v>5.0</v>
      </c>
      <c r="B204" s="115" t="s">
        <v>58</v>
      </c>
      <c r="C204" s="118">
        <v>17.0</v>
      </c>
      <c r="D204" s="118">
        <v>17.0</v>
      </c>
      <c r="E204" s="118">
        <v>17.0</v>
      </c>
      <c r="F204" s="118">
        <v>17.0</v>
      </c>
      <c r="G204" s="118">
        <v>17.0</v>
      </c>
      <c r="H204" s="153"/>
    </row>
    <row r="205">
      <c r="A205" s="119">
        <v>6.0</v>
      </c>
      <c r="B205" s="115" t="s">
        <v>114</v>
      </c>
      <c r="C205" s="82">
        <f t="shared" ref="C205:F205" si="55">280*1.35</f>
        <v>378</v>
      </c>
      <c r="D205" s="82">
        <f t="shared" si="55"/>
        <v>378</v>
      </c>
      <c r="E205" s="82">
        <f t="shared" si="55"/>
        <v>378</v>
      </c>
      <c r="F205" s="82">
        <f t="shared" si="55"/>
        <v>378</v>
      </c>
      <c r="G205" s="82">
        <f>240*1.35</f>
        <v>324</v>
      </c>
      <c r="H205" s="7"/>
    </row>
    <row r="206">
      <c r="A206" s="115">
        <v>7.0</v>
      </c>
      <c r="B206" s="115" t="s">
        <v>60</v>
      </c>
      <c r="C206" s="118">
        <v>10.0</v>
      </c>
      <c r="D206" s="118">
        <v>10.0</v>
      </c>
      <c r="E206" s="118">
        <v>10.0</v>
      </c>
      <c r="F206" s="118">
        <v>10.0</v>
      </c>
      <c r="G206" s="118">
        <v>10.0</v>
      </c>
      <c r="H206" s="153"/>
    </row>
    <row r="207">
      <c r="A207" s="111"/>
      <c r="B207" s="123" t="s">
        <v>65</v>
      </c>
      <c r="C207" s="7">
        <f t="shared" ref="C207:G207" si="56">SUM(C200:C206)</f>
        <v>1108.075</v>
      </c>
      <c r="D207" s="7">
        <f t="shared" si="56"/>
        <v>1064.575</v>
      </c>
      <c r="E207" s="7">
        <f t="shared" si="56"/>
        <v>1027.825</v>
      </c>
      <c r="F207" s="7">
        <f t="shared" si="56"/>
        <v>1000.575</v>
      </c>
      <c r="G207" s="7">
        <f t="shared" si="56"/>
        <v>909.775</v>
      </c>
      <c r="H207" s="111"/>
    </row>
    <row r="210">
      <c r="A210" s="113" t="s">
        <v>55</v>
      </c>
      <c r="B210" s="113" t="s">
        <v>116</v>
      </c>
      <c r="C210" s="114">
        <v>50.0</v>
      </c>
      <c r="D210" s="114">
        <v>100.0</v>
      </c>
      <c r="E210" s="114">
        <v>200.0</v>
      </c>
      <c r="F210" s="114">
        <v>300.0</v>
      </c>
      <c r="G210" s="114">
        <v>500.0</v>
      </c>
      <c r="H210" s="180"/>
    </row>
    <row r="211">
      <c r="A211" s="115">
        <v>1.0</v>
      </c>
      <c r="B211" s="116" t="str">
        <f>IFERROR(__xludf.DUMMYFUNCTION("IMPORTRANGE(""1HkzfTg_x2lNlvG_oAmvAnugODRXnepM3bnsrF1TbIKU"", ""Папки и изделия экокожа!b43:g43"")"),"Органайзер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211" s="106">
        <f>IFERROR(__xludf.DUMMYFUNCTION("""COMPUTED_VALUE"""),295.0)</f>
        <v>295</v>
      </c>
      <c r="D211" s="106">
        <f>IFERROR(__xludf.DUMMYFUNCTION("""COMPUTED_VALUE"""),275.0)</f>
        <v>275</v>
      </c>
      <c r="E211" s="106">
        <f>IFERROR(__xludf.DUMMYFUNCTION("""COMPUTED_VALUE"""),255.0)</f>
        <v>255</v>
      </c>
      <c r="F211" s="106">
        <f>IFERROR(__xludf.DUMMYFUNCTION("""COMPUTED_VALUE"""),240.0)</f>
        <v>240</v>
      </c>
      <c r="G211" s="106">
        <f>IFERROR(__xludf.DUMMYFUNCTION("""COMPUTED_VALUE"""),225.0)</f>
        <v>225</v>
      </c>
      <c r="H211" s="62"/>
    </row>
    <row r="212">
      <c r="A212" s="119">
        <v>2.0</v>
      </c>
      <c r="B212" s="116" t="str">
        <f>IFERROR(__xludf.DUMMYFUNCTION("IMPORTRANGE(""1HkzfTg_x2lNlvG_oAmvAnugODRXnepM3bnsrF1TbIKU"", ""Папки и изделия экокожа!b50:g50"")"),"Багажная бирка искусственная кожа с полноцветной печатью")</f>
        <v>Багажная бирка искусственная кожа с полноцветной печатью</v>
      </c>
      <c r="C212" s="106">
        <f>IFERROR(__xludf.DUMMYFUNCTION("""COMPUTED_VALUE"""),150.0)</f>
        <v>150</v>
      </c>
      <c r="D212" s="106">
        <f>IFERROR(__xludf.DUMMYFUNCTION("""COMPUTED_VALUE"""),145.0)</f>
        <v>145</v>
      </c>
      <c r="E212" s="106">
        <f>IFERROR(__xludf.DUMMYFUNCTION("""COMPUTED_VALUE"""),140.0)</f>
        <v>140</v>
      </c>
      <c r="F212" s="106">
        <f>IFERROR(__xludf.DUMMYFUNCTION("""COMPUTED_VALUE"""),135.0)</f>
        <v>135</v>
      </c>
      <c r="G212" s="106">
        <f>IFERROR(__xludf.DUMMYFUNCTION("""COMPUTED_VALUE"""),125.0)</f>
        <v>125</v>
      </c>
      <c r="H212" s="62"/>
    </row>
    <row r="213">
      <c r="A213" s="119">
        <v>3.0</v>
      </c>
      <c r="B213" s="126" t="str">
        <f>IFERROR(__xludf.DUMMYFUNCTION("IMPORTRANGE(""1HkzfTg_x2lNlvG_oAmvAnugODRXnepM3bnsrF1TbIKU"", ""Чехлы и футляры ЭкоКожа!b16:g16"")"),"Футляр для кредитных карт с тремя карманами, RFID блокиратор, экокожа с персонализацией")</f>
        <v>Футляр для кредитных карт с тремя карманами, RFID блокиратор, экокожа с персонализацией</v>
      </c>
      <c r="C213" s="106">
        <f>IFERROR(__xludf.DUMMYFUNCTION("""COMPUTED_VALUE"""),180.0)</f>
        <v>180</v>
      </c>
      <c r="D213" s="106">
        <f>IFERROR(__xludf.DUMMYFUNCTION("""COMPUTED_VALUE"""),175.0)</f>
        <v>175</v>
      </c>
      <c r="E213" s="106">
        <f>IFERROR(__xludf.DUMMYFUNCTION("""COMPUTED_VALUE"""),170.0)</f>
        <v>170</v>
      </c>
      <c r="F213" s="106">
        <f>IFERROR(__xludf.DUMMYFUNCTION("""COMPUTED_VALUE"""),165.0)</f>
        <v>165</v>
      </c>
      <c r="G213" s="106">
        <f>IFERROR(__xludf.DUMMYFUNCTION("""COMPUTED_VALUE"""),155.0)</f>
        <v>155</v>
      </c>
      <c r="H213" s="62"/>
    </row>
    <row r="214">
      <c r="A214" s="115">
        <v>4.0</v>
      </c>
      <c r="B214" s="115" t="s">
        <v>57</v>
      </c>
      <c r="C214" s="82">
        <f t="shared" ref="C214:G214" si="57">(1000/C210+4.5)*1.35</f>
        <v>33.075</v>
      </c>
      <c r="D214" s="82">
        <f t="shared" si="57"/>
        <v>19.575</v>
      </c>
      <c r="E214" s="82">
        <f t="shared" si="57"/>
        <v>12.825</v>
      </c>
      <c r="F214" s="82">
        <f t="shared" si="57"/>
        <v>10.575</v>
      </c>
      <c r="G214" s="82">
        <f t="shared" si="57"/>
        <v>8.775</v>
      </c>
      <c r="H214" s="7"/>
    </row>
    <row r="215">
      <c r="A215" s="119">
        <v>5.0</v>
      </c>
      <c r="B215" s="115" t="s">
        <v>58</v>
      </c>
      <c r="C215" s="118">
        <v>17.0</v>
      </c>
      <c r="D215" s="118">
        <v>17.0</v>
      </c>
      <c r="E215" s="118">
        <v>17.0</v>
      </c>
      <c r="F215" s="118">
        <v>17.0</v>
      </c>
      <c r="G215" s="118">
        <v>17.0</v>
      </c>
      <c r="H215" s="153"/>
    </row>
    <row r="216">
      <c r="A216" s="119">
        <v>6.0</v>
      </c>
      <c r="B216" s="115" t="s">
        <v>114</v>
      </c>
      <c r="C216" s="82">
        <f t="shared" ref="C216:F216" si="58">280*1.35</f>
        <v>378</v>
      </c>
      <c r="D216" s="82">
        <f t="shared" si="58"/>
        <v>378</v>
      </c>
      <c r="E216" s="82">
        <f t="shared" si="58"/>
        <v>378</v>
      </c>
      <c r="F216" s="82">
        <f t="shared" si="58"/>
        <v>378</v>
      </c>
      <c r="G216" s="82">
        <f>240*1.35</f>
        <v>324</v>
      </c>
      <c r="H216" s="7"/>
    </row>
    <row r="217">
      <c r="A217" s="115">
        <v>7.0</v>
      </c>
      <c r="B217" s="115" t="s">
        <v>60</v>
      </c>
      <c r="C217" s="118">
        <v>10.0</v>
      </c>
      <c r="D217" s="118">
        <v>10.0</v>
      </c>
      <c r="E217" s="118">
        <v>10.0</v>
      </c>
      <c r="F217" s="118">
        <v>10.0</v>
      </c>
      <c r="G217" s="118">
        <v>10.0</v>
      </c>
      <c r="H217" s="153"/>
    </row>
    <row r="218">
      <c r="A218" s="111"/>
      <c r="B218" s="123" t="s">
        <v>65</v>
      </c>
      <c r="C218" s="7">
        <f t="shared" ref="C218:G218" si="59">SUM(C211:C217)</f>
        <v>1063.075</v>
      </c>
      <c r="D218" s="7">
        <f t="shared" si="59"/>
        <v>1019.575</v>
      </c>
      <c r="E218" s="7">
        <f t="shared" si="59"/>
        <v>982.825</v>
      </c>
      <c r="F218" s="7">
        <f t="shared" si="59"/>
        <v>955.575</v>
      </c>
      <c r="G218" s="7">
        <f t="shared" si="59"/>
        <v>864.775</v>
      </c>
      <c r="H218" s="111"/>
    </row>
    <row r="220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</row>
    <row r="223">
      <c r="A223" s="113" t="s">
        <v>55</v>
      </c>
      <c r="B223" s="113" t="s">
        <v>118</v>
      </c>
      <c r="C223" s="114">
        <v>50.0</v>
      </c>
      <c r="D223" s="114">
        <v>100.0</v>
      </c>
      <c r="E223" s="114">
        <v>200.0</v>
      </c>
      <c r="F223" s="114">
        <v>300.0</v>
      </c>
      <c r="G223" s="114">
        <v>500.0</v>
      </c>
      <c r="H223" s="114">
        <v>1000.0</v>
      </c>
    </row>
    <row r="224">
      <c r="A224" s="115">
        <v>1.0</v>
      </c>
      <c r="B224" s="116" t="str">
        <f>IFERROR(__xludf.DUMMYFUNCTION("IMPORTRANGE(""1HkzfTg_x2lNlvG_oAmvAnugODRXnepM3bnsrF1TbIKU"", ""Папки и изделия экокожа!b15:h15"")"),"Папка-пенал на молнии (205х90) искусственная кожа с полноцветной печатью, 500 мкм")</f>
        <v>Папка-пенал на молнии (205х90) искусственная кожа с полноцветной печатью, 500 мкм</v>
      </c>
      <c r="C224" s="106">
        <f>IFERROR(__xludf.DUMMYFUNCTION("""COMPUTED_VALUE"""),325.0)</f>
        <v>325</v>
      </c>
      <c r="D224" s="106">
        <f>IFERROR(__xludf.DUMMYFUNCTION("""COMPUTED_VALUE"""),305.0)</f>
        <v>305</v>
      </c>
      <c r="E224" s="106">
        <f>IFERROR(__xludf.DUMMYFUNCTION("""COMPUTED_VALUE"""),275.0)</f>
        <v>275</v>
      </c>
      <c r="F224" s="106">
        <f>IFERROR(__xludf.DUMMYFUNCTION("""COMPUTED_VALUE"""),245.0)</f>
        <v>245</v>
      </c>
      <c r="G224" s="106">
        <f>IFERROR(__xludf.DUMMYFUNCTION("""COMPUTED_VALUE"""),215.0)</f>
        <v>215</v>
      </c>
      <c r="H224" s="21">
        <f>IFERROR(__xludf.DUMMYFUNCTION("""COMPUTED_VALUE"""),185.0)</f>
        <v>185</v>
      </c>
    </row>
    <row r="225">
      <c r="A225" s="119">
        <v>2.0</v>
      </c>
      <c r="B225" s="116" t="str">
        <f>IFERROR(__xludf.DUMMYFUNCTION("IMPORTRANGE(""1HkzfTg_x2lNlvG_oAmvAnugODRXnepM3bnsrF1TbIKU"", ""Чехлы и футляры ЭкоКожа!b28:h28"")"),"Футляр - книжка для кредитных карт с четырьмя карманами, RFID блокиратор, экокожа c полноцветной печатью")</f>
        <v>Футляр - книжка для кредитных карт с четырьмя карманами, RFID блокиратор, экокожа c полноцветной печатью</v>
      </c>
      <c r="C225" s="106">
        <f>IFERROR(__xludf.DUMMYFUNCTION("""COMPUTED_VALUE"""),245.0)</f>
        <v>245</v>
      </c>
      <c r="D225" s="106">
        <f>IFERROR(__xludf.DUMMYFUNCTION("""COMPUTED_VALUE"""),240.0)</f>
        <v>240</v>
      </c>
      <c r="E225" s="106">
        <f>IFERROR(__xludf.DUMMYFUNCTION("""COMPUTED_VALUE"""),235.0)</f>
        <v>235</v>
      </c>
      <c r="F225" s="106">
        <f>IFERROR(__xludf.DUMMYFUNCTION("""COMPUTED_VALUE"""),225.0)</f>
        <v>225</v>
      </c>
      <c r="G225" s="106">
        <f>IFERROR(__xludf.DUMMYFUNCTION("""COMPUTED_VALUE"""),215.0)</f>
        <v>215</v>
      </c>
      <c r="H225" s="21">
        <f>IFERROR(__xludf.DUMMYFUNCTION("""COMPUTED_VALUE"""),205.0)</f>
        <v>205</v>
      </c>
    </row>
    <row r="226">
      <c r="A226" s="119">
        <v>3.0</v>
      </c>
      <c r="B226" s="116" t="str">
        <f>IFERROR(__xludf.DUMMYFUNCTION("IMPORTRANGE(""1HkzfTg_x2lNlvG_oAmvAnugODRXnepM3bnsrF1TbIKU"", ""Папки и изделия экокожа!b33:h33"")"),"Обложка для паспорта искусственная кожа с полноцветной печатью, дополнительные отделения,135х195 мм")</f>
        <v>Обложка для паспорта искусственная кожа с полноцветной печатью, дополнительные отделения,135х195 мм</v>
      </c>
      <c r="C226" s="106">
        <f>IFERROR(__xludf.DUMMYFUNCTION("""COMPUTED_VALUE"""),310.0)</f>
        <v>310</v>
      </c>
      <c r="D226" s="106">
        <f>IFERROR(__xludf.DUMMYFUNCTION("""COMPUTED_VALUE"""),290.0)</f>
        <v>290</v>
      </c>
      <c r="E226" s="106">
        <f>IFERROR(__xludf.DUMMYFUNCTION("""COMPUTED_VALUE"""),270.0)</f>
        <v>270</v>
      </c>
      <c r="F226" s="106">
        <f>IFERROR(__xludf.DUMMYFUNCTION("""COMPUTED_VALUE"""),255.0)</f>
        <v>255</v>
      </c>
      <c r="G226" s="106">
        <f>IFERROR(__xludf.DUMMYFUNCTION("""COMPUTED_VALUE"""),240.0)</f>
        <v>240</v>
      </c>
      <c r="H226" s="21">
        <f>IFERROR(__xludf.DUMMYFUNCTION("""COMPUTED_VALUE"""),225.0)</f>
        <v>225</v>
      </c>
    </row>
    <row r="227">
      <c r="A227" s="115">
        <v>4.0</v>
      </c>
      <c r="B227" s="115" t="s">
        <v>57</v>
      </c>
      <c r="C227" s="82">
        <f t="shared" ref="C227:H227" si="60">(1000/C223+4.5)*1.35</f>
        <v>33.075</v>
      </c>
      <c r="D227" s="82">
        <f t="shared" si="60"/>
        <v>19.575</v>
      </c>
      <c r="E227" s="82">
        <f t="shared" si="60"/>
        <v>12.825</v>
      </c>
      <c r="F227" s="82">
        <f t="shared" si="60"/>
        <v>10.575</v>
      </c>
      <c r="G227" s="82">
        <f t="shared" si="60"/>
        <v>8.775</v>
      </c>
      <c r="H227" s="82">
        <f t="shared" si="60"/>
        <v>7.425</v>
      </c>
    </row>
    <row r="228">
      <c r="A228" s="119">
        <v>5.0</v>
      </c>
      <c r="B228" s="115" t="s">
        <v>119</v>
      </c>
      <c r="C228" s="118">
        <f t="shared" ref="C228:H228" si="61">117.4*1.35</f>
        <v>158.49</v>
      </c>
      <c r="D228" s="118">
        <f t="shared" si="61"/>
        <v>158.49</v>
      </c>
      <c r="E228" s="118">
        <f t="shared" si="61"/>
        <v>158.49</v>
      </c>
      <c r="F228" s="118">
        <f t="shared" si="61"/>
        <v>158.49</v>
      </c>
      <c r="G228" s="118">
        <f t="shared" si="61"/>
        <v>158.49</v>
      </c>
      <c r="H228" s="118">
        <f t="shared" si="61"/>
        <v>158.49</v>
      </c>
    </row>
    <row r="229">
      <c r="A229" s="119">
        <v>6.0</v>
      </c>
      <c r="B229" s="115" t="s">
        <v>121</v>
      </c>
      <c r="C229" s="82">
        <f t="shared" ref="C229:D229" si="62">320*1.35</f>
        <v>432</v>
      </c>
      <c r="D229" s="82">
        <f t="shared" si="62"/>
        <v>432</v>
      </c>
      <c r="E229" s="82">
        <f t="shared" ref="E229:F229" si="63">300*1.35</f>
        <v>405</v>
      </c>
      <c r="F229" s="82">
        <f t="shared" si="63"/>
        <v>405</v>
      </c>
      <c r="G229" s="82">
        <f t="shared" ref="G229:H229" si="64">290*1.35</f>
        <v>391.5</v>
      </c>
      <c r="H229" s="82">
        <f t="shared" si="64"/>
        <v>391.5</v>
      </c>
    </row>
    <row r="230">
      <c r="A230" s="115">
        <v>7.0</v>
      </c>
      <c r="B230" s="115" t="s">
        <v>60</v>
      </c>
      <c r="C230" s="118">
        <v>15.0</v>
      </c>
      <c r="D230" s="118">
        <v>15.0</v>
      </c>
      <c r="E230" s="118">
        <v>15.0</v>
      </c>
      <c r="F230" s="118">
        <v>15.0</v>
      </c>
      <c r="G230" s="118">
        <v>15.0</v>
      </c>
      <c r="H230" s="118">
        <v>15.0</v>
      </c>
    </row>
    <row r="231">
      <c r="A231" s="111"/>
      <c r="B231" s="123" t="s">
        <v>65</v>
      </c>
      <c r="C231" s="7">
        <f t="shared" ref="C231:H231" si="65">SUM(C224:C230)</f>
        <v>1518.565</v>
      </c>
      <c r="D231" s="7">
        <f t="shared" si="65"/>
        <v>1460.065</v>
      </c>
      <c r="E231" s="7">
        <f t="shared" si="65"/>
        <v>1371.315</v>
      </c>
      <c r="F231" s="7">
        <f t="shared" si="65"/>
        <v>1314.065</v>
      </c>
      <c r="G231" s="7">
        <f t="shared" si="65"/>
        <v>1243.765</v>
      </c>
      <c r="H231" s="5">
        <f t="shared" si="65"/>
        <v>1187.415</v>
      </c>
    </row>
    <row r="234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</row>
    <row r="237">
      <c r="A237" s="113" t="s">
        <v>55</v>
      </c>
      <c r="B237" s="113" t="s">
        <v>122</v>
      </c>
      <c r="C237" s="114">
        <v>50.0</v>
      </c>
      <c r="D237" s="114">
        <v>100.0</v>
      </c>
      <c r="E237" s="114">
        <v>200.0</v>
      </c>
    </row>
    <row r="238">
      <c r="A238" s="115">
        <v>1.0</v>
      </c>
      <c r="B238" s="116" t="str">
        <f>IFERROR(__xludf.DUMMYFUNCTION("IMPORTRANGE(""1HkzfTg_x2lNlvG_oAmvAnugODRXnepM3bnsrF1TbIKU"", ""Папки и изделия экокожа!b62:e62"")"),"")</f>
        <v/>
      </c>
      <c r="C238" s="106" t="str">
        <f>IFERROR(__xludf.DUMMYFUNCTION("""COMPUTED_VALUE"""),"50 шт")</f>
        <v>50 шт</v>
      </c>
      <c r="D238" s="106" t="str">
        <f>IFERROR(__xludf.DUMMYFUNCTION("""COMPUTED_VALUE"""),"100 шт")</f>
        <v>100 шт</v>
      </c>
      <c r="E238" s="106" t="str">
        <f>IFERROR(__xludf.DUMMYFUNCTION("""COMPUTED_VALUE"""),"200 шт")</f>
        <v>200 шт</v>
      </c>
    </row>
    <row r="239">
      <c r="A239" s="119">
        <v>2.0</v>
      </c>
      <c r="B239" s="116" t="str">
        <f>IFERROR(__xludf.DUMMYFUNCTION("IMPORTRANGE(""1HkzfTg_x2lNlvG_oAmvAnugODRXnepM3bnsrF1TbIKU"", ""Чехлы и футляры экокожа!b38:e38"")"),"Карман вертикальный для карты, внутр. размер 63x94мм, толщина винила 350 мкм (экокожа)")</f>
        <v>Карман вертикальный для карты, внутр. размер 63x94мм, толщина винила 350 мкм (экокожа)</v>
      </c>
      <c r="C239" s="106">
        <f>IFERROR(__xludf.DUMMYFUNCTION("""COMPUTED_VALUE"""),75.0)</f>
        <v>75</v>
      </c>
      <c r="D239" s="106">
        <f>IFERROR(__xludf.DUMMYFUNCTION("""COMPUTED_VALUE"""),65.0)</f>
        <v>65</v>
      </c>
      <c r="E239" s="106">
        <f>IFERROR(__xludf.DUMMYFUNCTION("""COMPUTED_VALUE"""),60.0)</f>
        <v>60</v>
      </c>
    </row>
    <row r="240">
      <c r="A240" s="119">
        <v>3.0</v>
      </c>
      <c r="B240" s="115" t="s">
        <v>123</v>
      </c>
      <c r="C240" s="185">
        <v>145.0</v>
      </c>
      <c r="D240" s="186">
        <v>135.0</v>
      </c>
      <c r="E240" s="186">
        <v>125.0</v>
      </c>
    </row>
    <row r="241">
      <c r="A241" s="119">
        <v>4.0</v>
      </c>
      <c r="B241" s="115" t="s">
        <v>57</v>
      </c>
      <c r="C241" s="82">
        <f t="shared" ref="C241:E241" si="66">(1000/C237+4.5)*1.35</f>
        <v>33.075</v>
      </c>
      <c r="D241" s="82">
        <f t="shared" si="66"/>
        <v>19.575</v>
      </c>
      <c r="E241" s="82">
        <f t="shared" si="66"/>
        <v>12.825</v>
      </c>
    </row>
    <row r="242">
      <c r="A242" s="119">
        <v>5.0</v>
      </c>
      <c r="B242" s="115" t="s">
        <v>124</v>
      </c>
      <c r="C242" s="82"/>
      <c r="D242" s="82"/>
      <c r="E242" s="82"/>
    </row>
    <row r="243">
      <c r="A243" s="119">
        <v>6.0</v>
      </c>
      <c r="B243" s="115" t="s">
        <v>119</v>
      </c>
      <c r="C243" s="118">
        <f t="shared" ref="C243:E243" si="67">117.4*1.35</f>
        <v>158.49</v>
      </c>
      <c r="D243" s="118">
        <f t="shared" si="67"/>
        <v>158.49</v>
      </c>
      <c r="E243" s="118">
        <f t="shared" si="67"/>
        <v>158.49</v>
      </c>
    </row>
    <row r="244">
      <c r="A244" s="119">
        <v>7.0</v>
      </c>
      <c r="B244" s="115" t="s">
        <v>125</v>
      </c>
      <c r="C244" s="82"/>
      <c r="D244" s="82"/>
      <c r="E244" s="82">
        <f>220+(220*0.35)</f>
        <v>297</v>
      </c>
    </row>
    <row r="245">
      <c r="A245" s="119">
        <v>8.0</v>
      </c>
      <c r="B245" s="115" t="s">
        <v>60</v>
      </c>
      <c r="C245" s="118">
        <v>10.0</v>
      </c>
      <c r="D245" s="118">
        <v>10.0</v>
      </c>
      <c r="E245" s="118">
        <v>10.0</v>
      </c>
    </row>
    <row r="246">
      <c r="A246" s="111"/>
      <c r="B246" s="123" t="s">
        <v>65</v>
      </c>
      <c r="C246" s="7">
        <f t="shared" ref="C246:E246" si="68">SUM(C238:C245)</f>
        <v>421.565</v>
      </c>
      <c r="D246" s="7">
        <f t="shared" si="68"/>
        <v>388.065</v>
      </c>
      <c r="E246" s="7">
        <f t="shared" si="68"/>
        <v>663.315</v>
      </c>
    </row>
    <row r="248">
      <c r="A248" s="113" t="s">
        <v>55</v>
      </c>
      <c r="B248" s="113" t="s">
        <v>126</v>
      </c>
      <c r="C248" s="114">
        <v>50.0</v>
      </c>
      <c r="D248" s="114">
        <v>100.0</v>
      </c>
      <c r="E248" s="114">
        <v>200.0</v>
      </c>
    </row>
    <row r="249">
      <c r="A249" s="115">
        <v>1.0</v>
      </c>
      <c r="B249" s="116" t="str">
        <f>IFERROR(__xludf.DUMMYFUNCTION("IMPORTRANGE(""1HkzfTg_x2lNlvG_oAmvAnugODRXnepM3bnsrF1TbIKU"", ""Папки и изделия экокожа!b62:e62"")"),"")</f>
        <v/>
      </c>
      <c r="C249" s="106" t="str">
        <f>IFERROR(__xludf.DUMMYFUNCTION("""COMPUTED_VALUE"""),"50 шт")</f>
        <v>50 шт</v>
      </c>
      <c r="D249" s="106" t="str">
        <f>IFERROR(__xludf.DUMMYFUNCTION("""COMPUTED_VALUE"""),"100 шт")</f>
        <v>100 шт</v>
      </c>
      <c r="E249" s="106" t="str">
        <f>IFERROR(__xludf.DUMMYFUNCTION("""COMPUTED_VALUE"""),"200 шт")</f>
        <v>200 шт</v>
      </c>
    </row>
    <row r="250">
      <c r="A250" s="119">
        <v>2.0</v>
      </c>
      <c r="B250" s="116" t="str">
        <f>IFERROR(__xludf.DUMMYFUNCTION("IMPORTRANGE(""1HkzfTg_x2lNlvG_oAmvAnugODRXnepM3bnsrF1TbIKU"", ""Папки и изделия экокожа!b43:e43"")"),"Органайзер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250" s="106">
        <f>IFERROR(__xludf.DUMMYFUNCTION("""COMPUTED_VALUE"""),295.0)</f>
        <v>295</v>
      </c>
      <c r="D250" s="106">
        <f>IFERROR(__xludf.DUMMYFUNCTION("""COMPUTED_VALUE"""),275.0)</f>
        <v>275</v>
      </c>
      <c r="E250" s="106">
        <f>IFERROR(__xludf.DUMMYFUNCTION("""COMPUTED_VALUE"""),255.0)</f>
        <v>255</v>
      </c>
    </row>
    <row r="251">
      <c r="A251" s="119">
        <v>3.0</v>
      </c>
      <c r="B251" s="115" t="str">
        <f>IFERROR(__xludf.DUMMYFUNCTION("IMPORTRANGE(""1HkzfTg_x2lNlvG_oAmvAnugODRXnepM3bnsrF1TbIKU"", ""Папки и изделия экокожа!b48:e48"")"),"")</f>
        <v/>
      </c>
      <c r="C251" s="82" t="str">
        <f>IFERROR(__xludf.DUMMYFUNCTION("""COMPUTED_VALUE"""),"50 шт")</f>
        <v>50 шт</v>
      </c>
      <c r="D251" s="82" t="str">
        <f>IFERROR(__xludf.DUMMYFUNCTION("""COMPUTED_VALUE"""),"100 шт")</f>
        <v>100 шт</v>
      </c>
      <c r="E251" s="82" t="str">
        <f>IFERROR(__xludf.DUMMYFUNCTION("""COMPUTED_VALUE"""),"200 шт")</f>
        <v>200 шт</v>
      </c>
    </row>
    <row r="252">
      <c r="A252" s="119">
        <v>4.0</v>
      </c>
      <c r="B252" s="115" t="s">
        <v>57</v>
      </c>
      <c r="C252" s="82">
        <f t="shared" ref="C252:E252" si="69">(1000/C248+4.5)*1.35</f>
        <v>33.075</v>
      </c>
      <c r="D252" s="82">
        <f t="shared" si="69"/>
        <v>19.575</v>
      </c>
      <c r="E252" s="82">
        <f t="shared" si="69"/>
        <v>12.825</v>
      </c>
    </row>
    <row r="253">
      <c r="A253" s="119">
        <v>5.0</v>
      </c>
      <c r="B253" s="115" t="s">
        <v>124</v>
      </c>
      <c r="C253" s="82"/>
      <c r="D253" s="82"/>
      <c r="E253" s="82"/>
    </row>
    <row r="254">
      <c r="A254" s="119">
        <v>6.0</v>
      </c>
      <c r="B254" s="115" t="s">
        <v>119</v>
      </c>
      <c r="C254" s="118">
        <f t="shared" ref="C254:E254" si="70">117.4*1.35</f>
        <v>158.49</v>
      </c>
      <c r="D254" s="118">
        <f t="shared" si="70"/>
        <v>158.49</v>
      </c>
      <c r="E254" s="118">
        <f t="shared" si="70"/>
        <v>158.49</v>
      </c>
    </row>
    <row r="255">
      <c r="A255" s="119">
        <v>7.0</v>
      </c>
      <c r="B255" s="115" t="s">
        <v>127</v>
      </c>
      <c r="C255" s="82"/>
      <c r="D255" s="82"/>
      <c r="E255" s="82">
        <f>220+(220*0.35)</f>
        <v>297</v>
      </c>
    </row>
    <row r="256">
      <c r="A256" s="119">
        <v>8.0</v>
      </c>
      <c r="B256" s="115" t="s">
        <v>60</v>
      </c>
      <c r="C256" s="118">
        <v>10.0</v>
      </c>
      <c r="D256" s="118">
        <v>10.0</v>
      </c>
      <c r="E256" s="118">
        <v>10.0</v>
      </c>
    </row>
    <row r="257">
      <c r="A257" s="111"/>
      <c r="B257" s="123" t="s">
        <v>65</v>
      </c>
      <c r="C257" s="7">
        <f t="shared" ref="C257:E257" si="71">SUM(C249:C256)</f>
        <v>496.565</v>
      </c>
      <c r="D257" s="7">
        <f t="shared" si="71"/>
        <v>463.065</v>
      </c>
      <c r="E257" s="7">
        <f t="shared" si="71"/>
        <v>733.315</v>
      </c>
    </row>
    <row r="259">
      <c r="A259" s="113" t="s">
        <v>55</v>
      </c>
      <c r="B259" s="113" t="s">
        <v>128</v>
      </c>
      <c r="C259" s="114">
        <v>50.0</v>
      </c>
      <c r="D259" s="114">
        <v>100.0</v>
      </c>
      <c r="E259" s="114">
        <v>200.0</v>
      </c>
    </row>
    <row r="260">
      <c r="A260" s="115">
        <v>1.0</v>
      </c>
      <c r="B260" s="116" t="str">
        <f>IFERROR(__xludf.DUMMYFUNCTION("IMPORTRANGE(""1HkzfTg_x2lNlvG_oAmvAnugODRXnepM3bnsrF1TbIKU"", ""Папки и изделия экокожа!b62:e62"")"),"")</f>
        <v/>
      </c>
      <c r="C260" s="106" t="str">
        <f>IFERROR(__xludf.DUMMYFUNCTION("""COMPUTED_VALUE"""),"50 шт")</f>
        <v>50 шт</v>
      </c>
      <c r="D260" s="106" t="str">
        <f>IFERROR(__xludf.DUMMYFUNCTION("""COMPUTED_VALUE"""),"100 шт")</f>
        <v>100 шт</v>
      </c>
      <c r="E260" s="106" t="str">
        <f>IFERROR(__xludf.DUMMYFUNCTION("""COMPUTED_VALUE"""),"200 шт")</f>
        <v>200 шт</v>
      </c>
    </row>
    <row r="261">
      <c r="A261" s="119">
        <v>2.0</v>
      </c>
      <c r="B261" s="116" t="str">
        <f>IFERROR(__xludf.DUMMYFUNCTION("IMPORTRANGE(""1HkzfTg_x2lNlvG_oAmvAnugODRXnepM3bnsrF1TbIKU"", ""Папки и изделия экокожа!b59:e59"")"),"")</f>
        <v/>
      </c>
      <c r="C261" s="106" t="str">
        <f>IFERROR(__xludf.DUMMYFUNCTION("""COMPUTED_VALUE"""),"50 шт")</f>
        <v>50 шт</v>
      </c>
      <c r="D261" s="106" t="str">
        <f>IFERROR(__xludf.DUMMYFUNCTION("""COMPUTED_VALUE"""),"100 шт")</f>
        <v>100 шт</v>
      </c>
      <c r="E261" s="106" t="str">
        <f>IFERROR(__xludf.DUMMYFUNCTION("""COMPUTED_VALUE"""),"200 шт")</f>
        <v>200 шт</v>
      </c>
    </row>
    <row r="262">
      <c r="A262" s="119">
        <v>3.0</v>
      </c>
      <c r="B262" s="115" t="str">
        <f>IFERROR(__xludf.DUMMYFUNCTION("IMPORTRANGE(""1HkzfTg_x2lNlvG_oAmvAnugODRXnepM3bnsrF1TbIKU"", ""Чехлы и футляры экокожа!b17:e17"")"),"Футляр - книжка для кредитных карт с четырьмя карманами, RFID блокиратор, экокожа с персонализацией")</f>
        <v>Футляр - книжка для кредитных карт с четырьмя карманами, RFID блокиратор, экокожа с персонализацией</v>
      </c>
      <c r="C262" s="82">
        <f>IFERROR(__xludf.DUMMYFUNCTION("""COMPUTED_VALUE"""),215.0)</f>
        <v>215</v>
      </c>
      <c r="D262" s="82">
        <f>IFERROR(__xludf.DUMMYFUNCTION("""COMPUTED_VALUE"""),210.0)</f>
        <v>210</v>
      </c>
      <c r="E262" s="118">
        <f>IFERROR(__xludf.DUMMYFUNCTION("""COMPUTED_VALUE"""),205.0)</f>
        <v>205</v>
      </c>
    </row>
    <row r="263">
      <c r="A263" s="119">
        <v>4.0</v>
      </c>
      <c r="B263" s="115" t="s">
        <v>57</v>
      </c>
      <c r="C263" s="82">
        <f t="shared" ref="C263:E263" si="72">(1000/C259+4.5)*1.35</f>
        <v>33.075</v>
      </c>
      <c r="D263" s="82">
        <f t="shared" si="72"/>
        <v>19.575</v>
      </c>
      <c r="E263" s="82">
        <f t="shared" si="72"/>
        <v>12.825</v>
      </c>
    </row>
    <row r="264">
      <c r="A264" s="119">
        <v>5.0</v>
      </c>
      <c r="B264" s="115" t="s">
        <v>124</v>
      </c>
      <c r="C264" s="82"/>
      <c r="D264" s="82"/>
      <c r="E264" s="82"/>
    </row>
    <row r="265">
      <c r="A265" s="119">
        <v>6.0</v>
      </c>
      <c r="B265" s="115" t="s">
        <v>119</v>
      </c>
      <c r="C265" s="118">
        <f t="shared" ref="C265:E265" si="73">117.4*1.35</f>
        <v>158.49</v>
      </c>
      <c r="D265" s="118">
        <f t="shared" si="73"/>
        <v>158.49</v>
      </c>
      <c r="E265" s="118">
        <f t="shared" si="73"/>
        <v>158.49</v>
      </c>
    </row>
    <row r="266">
      <c r="A266" s="119">
        <v>7.0</v>
      </c>
      <c r="B266" s="115" t="s">
        <v>129</v>
      </c>
      <c r="C266" s="82"/>
      <c r="D266" s="82"/>
      <c r="E266" s="82">
        <f>220+(220*0.35)</f>
        <v>297</v>
      </c>
    </row>
    <row r="267">
      <c r="A267" s="119">
        <v>8.0</v>
      </c>
      <c r="B267" s="115" t="s">
        <v>60</v>
      </c>
      <c r="C267" s="118">
        <v>10.0</v>
      </c>
      <c r="D267" s="118">
        <v>10.0</v>
      </c>
      <c r="E267" s="118">
        <v>10.0</v>
      </c>
      <c r="F267" s="118"/>
    </row>
    <row r="268">
      <c r="B268" s="123" t="s">
        <v>65</v>
      </c>
      <c r="C268" s="7">
        <f t="shared" ref="C268:E268" si="74">SUM(C260:C267)</f>
        <v>416.565</v>
      </c>
      <c r="D268" s="7">
        <f t="shared" si="74"/>
        <v>398.065</v>
      </c>
      <c r="E268" s="7">
        <f t="shared" si="74"/>
        <v>683.315</v>
      </c>
    </row>
    <row r="270">
      <c r="A270" s="113" t="s">
        <v>55</v>
      </c>
      <c r="B270" s="113" t="s">
        <v>130</v>
      </c>
      <c r="C270" s="114">
        <v>50.0</v>
      </c>
      <c r="D270" s="114">
        <v>100.0</v>
      </c>
      <c r="E270" s="114">
        <v>200.0</v>
      </c>
    </row>
    <row r="271">
      <c r="A271" s="115">
        <v>1.0</v>
      </c>
      <c r="B271" s="116" t="str">
        <f>IFERROR(__xludf.DUMMYFUNCTION("IMPORTRANGE(""1HkzfTg_x2lNlvG_oAmvAnugODRXnepM3bnsrF1TbIKU"", ""Чехлы и футляры экокожа!b25:e25"")"),"Чехол вертикальный для пластиковой карты с  RFID блокиратором, Экокожа с Флок подложкой, полноцветная печать")</f>
        <v>Чехол вертикальный для пластиковой карты с  RFID блокиратором, Экокожа с Флок подложкой, полноцветная печать</v>
      </c>
      <c r="C271" s="106">
        <f>IFERROR(__xludf.DUMMYFUNCTION("""COMPUTED_VALUE"""),135.0)</f>
        <v>135</v>
      </c>
      <c r="D271" s="106">
        <f>IFERROR(__xludf.DUMMYFUNCTION("""COMPUTED_VALUE"""),130.0)</f>
        <v>130</v>
      </c>
      <c r="E271" s="106">
        <f>IFERROR(__xludf.DUMMYFUNCTION("""COMPUTED_VALUE"""),120.0)</f>
        <v>120</v>
      </c>
    </row>
    <row r="272">
      <c r="A272" s="119">
        <v>2.0</v>
      </c>
      <c r="B272" s="116" t="str">
        <f>IFERROR(__xludf.DUMMYFUNCTION("IMPORTRANGE(""1HkzfTg_x2lNlvG_oAmvAnugODRXnepM3bnsrF1TbIKU"", ""Папки и изделия экокожа!b44:e44"")"),"Органайзер для путешественника искусственная кожа с полноцветной печатью, дополнительные отделения, 98х215")</f>
        <v>Органайзер для путешественника искусственная кожа с полноцветной печатью, дополнительные отделения, 98х215</v>
      </c>
      <c r="C272" s="106">
        <f>IFERROR(__xludf.DUMMYFUNCTION("""COMPUTED_VALUE"""),345.0)</f>
        <v>345</v>
      </c>
      <c r="D272" s="106">
        <f>IFERROR(__xludf.DUMMYFUNCTION("""COMPUTED_VALUE"""),325.0)</f>
        <v>325</v>
      </c>
      <c r="E272" s="106">
        <f>IFERROR(__xludf.DUMMYFUNCTION("""COMPUTED_VALUE"""),305.0)</f>
        <v>305</v>
      </c>
    </row>
    <row r="273">
      <c r="A273" s="119">
        <v>3.0</v>
      </c>
      <c r="B273" s="115" t="str">
        <f>IFERROR(__xludf.DUMMYFUNCTION("IMPORTRANGE(""1HkzfTg_x2lNlvG_oAmvAnugODRXnepM3bnsrF1TbIKU"", ""Папки и изделия экокожа!b33:e33"")"),"Обложка для паспорта искусственная кожа с полноцветной печатью, дополнительные отделения,135х195 мм")</f>
        <v>Обложка для паспорта искусственная кожа с полноцветной печатью, дополнительные отделения,135х195 мм</v>
      </c>
      <c r="C273" s="82">
        <f>IFERROR(__xludf.DUMMYFUNCTION("""COMPUTED_VALUE"""),310.0)</f>
        <v>310</v>
      </c>
      <c r="D273" s="82">
        <f>IFERROR(__xludf.DUMMYFUNCTION("""COMPUTED_VALUE"""),290.0)</f>
        <v>290</v>
      </c>
      <c r="E273" s="82">
        <f>IFERROR(__xludf.DUMMYFUNCTION("""COMPUTED_VALUE"""),270.0)</f>
        <v>270</v>
      </c>
    </row>
    <row r="274">
      <c r="A274" s="119">
        <v>4.0</v>
      </c>
      <c r="B274" s="115" t="s">
        <v>57</v>
      </c>
      <c r="C274" s="187">
        <f t="shared" ref="C274:E274" si="75">(1000/C270+4.5)*1.35</f>
        <v>33.075</v>
      </c>
      <c r="D274" s="187">
        <f t="shared" si="75"/>
        <v>19.575</v>
      </c>
      <c r="E274" s="187">
        <f t="shared" si="75"/>
        <v>12.825</v>
      </c>
    </row>
    <row r="275">
      <c r="A275" s="119">
        <v>5.0</v>
      </c>
      <c r="B275" s="115" t="s">
        <v>124</v>
      </c>
      <c r="C275" s="187"/>
      <c r="D275" s="187"/>
      <c r="E275" s="187"/>
    </row>
    <row r="276">
      <c r="A276" s="119">
        <v>6.0</v>
      </c>
      <c r="B276" s="115" t="s">
        <v>119</v>
      </c>
      <c r="C276" s="188"/>
      <c r="D276" s="188"/>
      <c r="E276" s="188"/>
    </row>
    <row r="277">
      <c r="A277" s="119">
        <v>7.0</v>
      </c>
      <c r="B277" s="115" t="s">
        <v>131</v>
      </c>
      <c r="C277" s="187"/>
      <c r="D277" s="188">
        <v>450.0</v>
      </c>
      <c r="E277" s="187"/>
    </row>
    <row r="278">
      <c r="A278" s="119">
        <v>8.0</v>
      </c>
      <c r="B278" s="115" t="s">
        <v>60</v>
      </c>
      <c r="C278" s="188">
        <v>10.0</v>
      </c>
      <c r="D278" s="188">
        <v>10.0</v>
      </c>
      <c r="E278" s="188">
        <v>10.0</v>
      </c>
    </row>
    <row r="279">
      <c r="B279" s="123" t="s">
        <v>65</v>
      </c>
      <c r="C279" s="7">
        <f t="shared" ref="C279:E279" si="76">SUM(C271:C278)</f>
        <v>833.075</v>
      </c>
      <c r="D279" s="7">
        <f t="shared" si="76"/>
        <v>1224.575</v>
      </c>
      <c r="E279" s="7">
        <f t="shared" si="76"/>
        <v>717.825</v>
      </c>
    </row>
    <row r="281">
      <c r="A281" s="113" t="s">
        <v>55</v>
      </c>
      <c r="B281" s="113" t="s">
        <v>132</v>
      </c>
      <c r="C281" s="114">
        <v>50.0</v>
      </c>
      <c r="D281" s="114">
        <v>100.0</v>
      </c>
      <c r="E281" s="114">
        <v>200.0</v>
      </c>
    </row>
    <row r="282">
      <c r="A282" s="115">
        <v>1.0</v>
      </c>
      <c r="B282" s="116" t="str">
        <f>IFERROR(__xludf.DUMMYFUNCTION("IMPORTRANGE(""1HkzfTg_x2lNlvG_oAmvAnugODRXnepM3bnsrF1TbIKU"", ""Чехлы и футляры экокожа!b17:e17"")"),"Футляр - книжка для кредитных карт с четырьмя карманами, RFID блокиратор, экокожа с персонализацией")</f>
        <v>Футляр - книжка для кредитных карт с четырьмя карманами, RFID блокиратор, экокожа с персонализацией</v>
      </c>
      <c r="C282" s="106">
        <f>IFERROR(__xludf.DUMMYFUNCTION("""COMPUTED_VALUE"""),215.0)</f>
        <v>215</v>
      </c>
      <c r="D282" s="106">
        <f>IFERROR(__xludf.DUMMYFUNCTION("""COMPUTED_VALUE"""),210.0)</f>
        <v>210</v>
      </c>
      <c r="E282" s="106">
        <f>IFERROR(__xludf.DUMMYFUNCTION("""COMPUTED_VALUE"""),205.0)</f>
        <v>205</v>
      </c>
    </row>
    <row r="283">
      <c r="A283" s="119">
        <v>2.0</v>
      </c>
      <c r="B283" s="116" t="str">
        <f>IFERROR(__xludf.DUMMYFUNCTION("IMPORTRANGE(""1HkzfTg_x2lNlvG_oAmvAnugODRXnepM3bnsrF1TbIKU"", ""Папки и изделия экокожа!b43:e43"")"),"Органайзер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283" s="106">
        <f>IFERROR(__xludf.DUMMYFUNCTION("""COMPUTED_VALUE"""),295.0)</f>
        <v>295</v>
      </c>
      <c r="D283" s="106">
        <f>IFERROR(__xludf.DUMMYFUNCTION("""COMPUTED_VALUE"""),275.0)</f>
        <v>275</v>
      </c>
      <c r="E283" s="106">
        <f>IFERROR(__xludf.DUMMYFUNCTION("""COMPUTED_VALUE"""),255.0)</f>
        <v>255</v>
      </c>
    </row>
    <row r="284">
      <c r="A284" s="119">
        <v>3.0</v>
      </c>
      <c r="B284" s="115" t="str">
        <f>IFERROR(__xludf.DUMMYFUNCTION("IMPORTRANGE(""1HkzfTg_x2lNlvG_oAmvAnugODRXnepM3bnsrF1TbIKU"", ""Папки и изделия экокожа!b48:e48"")"),"")</f>
        <v/>
      </c>
      <c r="C284" s="82" t="str">
        <f>IFERROR(__xludf.DUMMYFUNCTION("""COMPUTED_VALUE"""),"50 шт")</f>
        <v>50 шт</v>
      </c>
      <c r="D284" s="82" t="str">
        <f>IFERROR(__xludf.DUMMYFUNCTION("""COMPUTED_VALUE"""),"100 шт")</f>
        <v>100 шт</v>
      </c>
      <c r="E284" s="82" t="str">
        <f>IFERROR(__xludf.DUMMYFUNCTION("""COMPUTED_VALUE"""),"200 шт")</f>
        <v>200 шт</v>
      </c>
    </row>
    <row r="285">
      <c r="A285" s="119">
        <v>4.0</v>
      </c>
      <c r="B285" s="115" t="s">
        <v>57</v>
      </c>
      <c r="C285" s="187">
        <f t="shared" ref="C285:E285" si="77">(1000/C281+4.5)*1.35</f>
        <v>33.075</v>
      </c>
      <c r="D285" s="187">
        <f t="shared" si="77"/>
        <v>19.575</v>
      </c>
      <c r="E285" s="187">
        <f t="shared" si="77"/>
        <v>12.825</v>
      </c>
    </row>
    <row r="286">
      <c r="A286" s="119">
        <v>5.0</v>
      </c>
      <c r="B286" s="115" t="s">
        <v>119</v>
      </c>
      <c r="C286" s="188"/>
      <c r="D286" s="188"/>
      <c r="E286" s="188"/>
    </row>
    <row r="287">
      <c r="A287" s="119">
        <v>6.0</v>
      </c>
      <c r="B287" s="115" t="s">
        <v>133</v>
      </c>
      <c r="C287" s="187"/>
      <c r="D287" s="187"/>
      <c r="E287" s="187"/>
    </row>
    <row r="288">
      <c r="A288" s="119">
        <v>7.0</v>
      </c>
      <c r="B288" s="115" t="s">
        <v>60</v>
      </c>
      <c r="C288" s="188">
        <v>10.0</v>
      </c>
      <c r="D288" s="188">
        <v>10.0</v>
      </c>
      <c r="E288" s="188">
        <v>10.0</v>
      </c>
    </row>
    <row r="289">
      <c r="B289" s="123" t="s">
        <v>65</v>
      </c>
      <c r="C289" s="7">
        <f t="shared" ref="C289:E289" si="78">SUM(C282:C288)</f>
        <v>553.075</v>
      </c>
      <c r="D289" s="7">
        <f t="shared" si="78"/>
        <v>514.575</v>
      </c>
      <c r="E289" s="7">
        <f t="shared" si="78"/>
        <v>482.825</v>
      </c>
    </row>
    <row r="291">
      <c r="A291" s="113" t="s">
        <v>55</v>
      </c>
      <c r="B291" s="113" t="s">
        <v>134</v>
      </c>
      <c r="C291" s="114">
        <v>50.0</v>
      </c>
      <c r="D291" s="114">
        <v>100.0</v>
      </c>
      <c r="E291" s="114">
        <v>200.0</v>
      </c>
      <c r="F291" s="114">
        <v>500.0</v>
      </c>
      <c r="G291" s="114">
        <v>1000.0</v>
      </c>
    </row>
    <row r="292">
      <c r="A292" s="115">
        <v>1.0</v>
      </c>
      <c r="B292" s="116" t="str">
        <f>IFERROR(__xludf.DUMMYFUNCTION("IMPORTRANGE(""1HkzfTg_x2lNlvG_oAmvAnugODRXnepM3bnsrF1TbIKU"", ""Чехлы и футляры экокожа!b17:f17"")"),"Футляр - книжка для кредитных карт с четырьмя карманами, RFID блокиратор, экокожа с персонализацией")</f>
        <v>Футляр - книжка для кредитных карт с четырьмя карманами, RFID блокиратор, экокожа с персонализацией</v>
      </c>
      <c r="C292" s="189">
        <f>IFERROR(__xludf.DUMMYFUNCTION("""COMPUTED_VALUE"""),215.0)</f>
        <v>215</v>
      </c>
      <c r="D292" s="189">
        <f>IFERROR(__xludf.DUMMYFUNCTION("""COMPUTED_VALUE"""),210.0)</f>
        <v>210</v>
      </c>
      <c r="E292" s="189">
        <f>IFERROR(__xludf.DUMMYFUNCTION("""COMPUTED_VALUE"""),205.0)</f>
        <v>205</v>
      </c>
      <c r="F292" s="190">
        <f>IFERROR(__xludf.DUMMYFUNCTION("""COMPUTED_VALUE"""),195.0)</f>
        <v>195</v>
      </c>
      <c r="G292" s="190"/>
    </row>
    <row r="293">
      <c r="A293" s="119">
        <v>2.0</v>
      </c>
      <c r="B293" s="116" t="str">
        <f>IFERROR(__xludf.DUMMYFUNCTION("IMPORTRANGE(""1HkzfTg_x2lNlvG_oAmvAnugODRXnepM3bnsrF1TbIKU"", ""Папки и изделия экокожа!b62:g62"")"),"")</f>
        <v/>
      </c>
      <c r="C293" s="189" t="str">
        <f>IFERROR(__xludf.DUMMYFUNCTION("""COMPUTED_VALUE"""),"50 шт")</f>
        <v>50 шт</v>
      </c>
      <c r="D293" s="189" t="str">
        <f>IFERROR(__xludf.DUMMYFUNCTION("""COMPUTED_VALUE"""),"100 шт")</f>
        <v>100 шт</v>
      </c>
      <c r="E293" s="189" t="str">
        <f>IFERROR(__xludf.DUMMYFUNCTION("""COMPUTED_VALUE"""),"200 шт")</f>
        <v>200 шт</v>
      </c>
      <c r="F293" s="190" t="str">
        <f>IFERROR(__xludf.DUMMYFUNCTION("""COMPUTED_VALUE"""),"300 шт")</f>
        <v>300 шт</v>
      </c>
      <c r="G293" s="190" t="str">
        <f>IFERROR(__xludf.DUMMYFUNCTION("""COMPUTED_VALUE"""),"500 шт")</f>
        <v>500 шт</v>
      </c>
    </row>
    <row r="294">
      <c r="A294" s="119">
        <v>3.0</v>
      </c>
      <c r="B294" s="115" t="str">
        <f>IFERROR(__xludf.DUMMYFUNCTION("IMPORTRANGE(""1HkzfTg_x2lNlvG_oAmvAnugODRXnepM3bnsrF1TbIKU"", ""Чехлы и футляры экокожа!b30:f30"")"),"Чехол вертикальный самоклеющийся для пластиковой карты 86х54 мм, Экокожа с Флок подложкой и персонализацией")</f>
        <v>Чехол вертикальный самоклеющийся для пластиковой карты 86х54 мм, Экокожа с Флок подложкой и персонализацией</v>
      </c>
      <c r="C294" s="189" t="str">
        <f>IFERROR(__xludf.DUMMYFUNCTION("""COMPUTED_VALUE"""),"95 ")</f>
        <v>95 </v>
      </c>
      <c r="D294" s="189" t="str">
        <f>IFERROR(__xludf.DUMMYFUNCTION("""COMPUTED_VALUE"""),"87 ")</f>
        <v>87 </v>
      </c>
      <c r="E294" s="189">
        <f>IFERROR(__xludf.DUMMYFUNCTION("""COMPUTED_VALUE"""),82.0)</f>
        <v>82</v>
      </c>
      <c r="F294" s="190" t="str">
        <f>IFERROR(__xludf.DUMMYFUNCTION("""COMPUTED_VALUE"""),"75 ")</f>
        <v>75 </v>
      </c>
      <c r="G294" s="190"/>
    </row>
    <row r="295">
      <c r="A295" s="119">
        <v>4.0</v>
      </c>
      <c r="B295" s="115" t="s">
        <v>57</v>
      </c>
      <c r="C295" s="191">
        <f t="shared" ref="C295:G295" si="79">(1000/C291+4.5)*1.35</f>
        <v>33.075</v>
      </c>
      <c r="D295" s="191">
        <f t="shared" si="79"/>
        <v>19.575</v>
      </c>
      <c r="E295" s="191">
        <f t="shared" si="79"/>
        <v>12.825</v>
      </c>
      <c r="F295" s="191">
        <f t="shared" si="79"/>
        <v>8.775</v>
      </c>
      <c r="G295" s="191">
        <f t="shared" si="79"/>
        <v>7.425</v>
      </c>
      <c r="H295" s="7"/>
    </row>
    <row r="296">
      <c r="A296" s="119">
        <v>5.0</v>
      </c>
      <c r="B296" s="115" t="s">
        <v>124</v>
      </c>
      <c r="C296" s="192"/>
      <c r="D296" s="192"/>
      <c r="E296" s="192"/>
      <c r="F296" s="193">
        <v>13.0</v>
      </c>
      <c r="G296" s="193">
        <v>11.0</v>
      </c>
    </row>
    <row r="297">
      <c r="A297" s="119">
        <v>6.0</v>
      </c>
      <c r="B297" s="115" t="s">
        <v>135</v>
      </c>
      <c r="C297" s="194"/>
      <c r="D297" s="194"/>
      <c r="E297" s="194"/>
      <c r="F297" s="193">
        <v>275.0</v>
      </c>
      <c r="G297" s="193">
        <v>250.0</v>
      </c>
    </row>
    <row r="298">
      <c r="A298" s="119">
        <v>7.0</v>
      </c>
      <c r="B298" s="115" t="s">
        <v>136</v>
      </c>
      <c r="C298" s="194">
        <v>20.0</v>
      </c>
      <c r="D298" s="194">
        <v>20.0</v>
      </c>
      <c r="E298" s="194">
        <v>20.0</v>
      </c>
      <c r="F298" s="194">
        <v>20.0</v>
      </c>
      <c r="G298" s="194">
        <v>20.0</v>
      </c>
    </row>
    <row r="299">
      <c r="A299" s="119">
        <v>8.0</v>
      </c>
      <c r="B299" s="115" t="s">
        <v>137</v>
      </c>
      <c r="C299" s="192"/>
      <c r="D299" s="194"/>
      <c r="E299" s="192"/>
      <c r="F299" s="193">
        <v>270.0</v>
      </c>
      <c r="G299" s="193">
        <v>230.0</v>
      </c>
    </row>
    <row r="300">
      <c r="A300" s="119">
        <v>9.0</v>
      </c>
      <c r="B300" s="115" t="s">
        <v>60</v>
      </c>
      <c r="C300" s="194">
        <v>10.0</v>
      </c>
      <c r="D300" s="194">
        <v>10.0</v>
      </c>
      <c r="E300" s="194">
        <v>10.0</v>
      </c>
      <c r="F300" s="194">
        <v>10.0</v>
      </c>
      <c r="G300" s="194">
        <v>10.0</v>
      </c>
    </row>
    <row r="301">
      <c r="B301" s="123" t="s">
        <v>65</v>
      </c>
      <c r="C301" s="124">
        <f t="shared" ref="C301:G301" si="80">SUM(C292:C300)</f>
        <v>278.075</v>
      </c>
      <c r="D301" s="124">
        <f t="shared" si="80"/>
        <v>259.575</v>
      </c>
      <c r="E301" s="124">
        <f t="shared" si="80"/>
        <v>329.825</v>
      </c>
      <c r="F301" s="124">
        <f t="shared" si="80"/>
        <v>791.775</v>
      </c>
      <c r="G301" s="124">
        <f t="shared" si="80"/>
        <v>528.425</v>
      </c>
    </row>
  </sheetData>
  <mergeCells count="15">
    <mergeCell ref="I98:J106"/>
    <mergeCell ref="I109:J117"/>
    <mergeCell ref="F248:H257"/>
    <mergeCell ref="F237:H246"/>
    <mergeCell ref="I33:K43"/>
    <mergeCell ref="I46:K56"/>
    <mergeCell ref="I78:J86"/>
    <mergeCell ref="I67:J75"/>
    <mergeCell ref="C97:G97"/>
    <mergeCell ref="C108:G108"/>
    <mergeCell ref="C66:G66"/>
    <mergeCell ref="C3:G3"/>
    <mergeCell ref="C14:G14"/>
    <mergeCell ref="C32:G32"/>
    <mergeCell ref="C77:G77"/>
  </mergeCells>
  <hyperlinks>
    <hyperlink r:id="rId1" ref="B2"/>
    <hyperlink r:id="rId2" ref="B31"/>
    <hyperlink r:id="rId3" ref="B65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43"/>
    <col customWidth="1" min="2" max="2" width="74.71"/>
  </cols>
  <sheetData>
    <row r="1">
      <c r="A1" s="113" t="s">
        <v>55</v>
      </c>
      <c r="B1" s="113" t="s">
        <v>62</v>
      </c>
      <c r="C1" s="114">
        <v>50.0</v>
      </c>
      <c r="D1" s="114">
        <v>100.0</v>
      </c>
      <c r="E1" s="114">
        <v>200.0</v>
      </c>
      <c r="F1" s="114">
        <v>300.0</v>
      </c>
      <c r="G1" s="114">
        <v>500.0</v>
      </c>
    </row>
    <row r="2">
      <c r="A2" s="115">
        <v>1.0</v>
      </c>
      <c r="B2" s="126" t="str">
        <f>IFERROR(__xludf.DUMMYFUNCTION("IMPORTRANGE(""1HkzfTg_x2lNlvG_oAmvAnugODRXnepM3bnsrF1TbIKU"", ""Папки и изделия экокожа!b44:g44"")"),"Органайзер для путешественника искусственная кожа с полноцветной печатью, дополнительные отделения, 98х215")</f>
        <v>Органайзер для путешественника искусственная кожа с полноцветной печатью, дополнительные отделения, 98х215</v>
      </c>
      <c r="C2" s="106">
        <f>IFERROR(__xludf.DUMMYFUNCTION("""COMPUTED_VALUE"""),345.0)</f>
        <v>345</v>
      </c>
      <c r="D2" s="106">
        <f>IFERROR(__xludf.DUMMYFUNCTION("""COMPUTED_VALUE"""),325.0)</f>
        <v>325</v>
      </c>
      <c r="E2" s="106">
        <f>IFERROR(__xludf.DUMMYFUNCTION("""COMPUTED_VALUE"""),305.0)</f>
        <v>305</v>
      </c>
      <c r="F2" s="106">
        <f>IFERROR(__xludf.DUMMYFUNCTION("""COMPUTED_VALUE"""),290.0)</f>
        <v>290</v>
      </c>
      <c r="G2" s="106">
        <f>IFERROR(__xludf.DUMMYFUNCTION("""COMPUTED_VALUE"""),275.0)</f>
        <v>275</v>
      </c>
    </row>
    <row r="3">
      <c r="A3" s="119">
        <v>2.0</v>
      </c>
      <c r="B3" s="126" t="str">
        <f>IFERROR(__xludf.DUMMYFUNCTION("IMPORTRANGE(""1HkzfTg_x2lNlvG_oAmvAnugODRXnepM3bnsrF1TbIKU"", ""Папки и изделия экокожа!b33:g33"")"),"Обложка для паспорта искусственная кожа с полноцветной печатью, дополнительные отделения,135х195 мм")</f>
        <v>Обложка для паспорта искусственная кожа с полноцветной печатью, дополнительные отделения,135х195 мм</v>
      </c>
      <c r="C3" s="106">
        <f>IFERROR(__xludf.DUMMYFUNCTION("""COMPUTED_VALUE"""),310.0)</f>
        <v>310</v>
      </c>
      <c r="D3" s="106">
        <f>IFERROR(__xludf.DUMMYFUNCTION("""COMPUTED_VALUE"""),290.0)</f>
        <v>290</v>
      </c>
      <c r="E3" s="106">
        <f>IFERROR(__xludf.DUMMYFUNCTION("""COMPUTED_VALUE"""),270.0)</f>
        <v>270</v>
      </c>
      <c r="F3" s="106">
        <f>IFERROR(__xludf.DUMMYFUNCTION("""COMPUTED_VALUE"""),255.0)</f>
        <v>255</v>
      </c>
      <c r="G3" s="106">
        <f>IFERROR(__xludf.DUMMYFUNCTION("""COMPUTED_VALUE"""),240.0)</f>
        <v>240</v>
      </c>
    </row>
    <row r="4">
      <c r="A4" s="119">
        <v>3.0</v>
      </c>
      <c r="B4" s="126" t="str">
        <f>IFERROR(__xludf.DUMMYFUNCTION("IMPORTRANGE(""1HkzfTg_x2lNlvG_oAmvAnugODRXnepM3bnsrF1TbIKU"", ""Чехлы и футляры ЭкоКожа!b28:g28"")"),"Футляр - книжка для кредитных карт с четырьмя карманами, RFID блокиратор, экокожа c полноцветной печатью")</f>
        <v>Футляр - книжка для кредитных карт с четырьмя карманами, RFID блокиратор, экокожа c полноцветной печатью</v>
      </c>
      <c r="C4" s="106">
        <f>IFERROR(__xludf.DUMMYFUNCTION("""COMPUTED_VALUE"""),245.0)</f>
        <v>245</v>
      </c>
      <c r="D4" s="106">
        <f>IFERROR(__xludf.DUMMYFUNCTION("""COMPUTED_VALUE"""),240.0)</f>
        <v>240</v>
      </c>
      <c r="E4" s="106">
        <f>IFERROR(__xludf.DUMMYFUNCTION("""COMPUTED_VALUE"""),235.0)</f>
        <v>235</v>
      </c>
      <c r="F4" s="106">
        <f>IFERROR(__xludf.DUMMYFUNCTION("""COMPUTED_VALUE"""),225.0)</f>
        <v>225</v>
      </c>
      <c r="G4" s="106">
        <f>IFERROR(__xludf.DUMMYFUNCTION("""COMPUTED_VALUE"""),215.0)</f>
        <v>215</v>
      </c>
    </row>
    <row r="5">
      <c r="A5" s="115">
        <v>4.0</v>
      </c>
      <c r="B5" s="128" t="s">
        <v>57</v>
      </c>
      <c r="C5" s="82">
        <f t="shared" ref="C5:G5" si="1">(1000/C1+4.5)*1.35</f>
        <v>33.075</v>
      </c>
      <c r="D5" s="82">
        <f t="shared" si="1"/>
        <v>19.575</v>
      </c>
      <c r="E5" s="82">
        <f t="shared" si="1"/>
        <v>12.825</v>
      </c>
      <c r="F5" s="82">
        <f t="shared" si="1"/>
        <v>10.575</v>
      </c>
      <c r="G5" s="82">
        <f t="shared" si="1"/>
        <v>8.775</v>
      </c>
    </row>
    <row r="6">
      <c r="A6" s="119">
        <v>5.0</v>
      </c>
      <c r="B6" s="128" t="s">
        <v>58</v>
      </c>
      <c r="C6" s="118">
        <v>15.0</v>
      </c>
      <c r="D6" s="118">
        <v>15.0</v>
      </c>
      <c r="E6" s="118">
        <v>15.0</v>
      </c>
      <c r="F6" s="118">
        <v>15.0</v>
      </c>
      <c r="G6" s="118">
        <v>15.0</v>
      </c>
    </row>
    <row r="7">
      <c r="A7" s="119">
        <v>6.0</v>
      </c>
      <c r="B7" s="128" t="s">
        <v>64</v>
      </c>
      <c r="C7" s="82">
        <f t="shared" ref="C7:D7" si="2">320*1.35</f>
        <v>432</v>
      </c>
      <c r="D7" s="82">
        <f t="shared" si="2"/>
        <v>432</v>
      </c>
      <c r="E7" s="82">
        <f t="shared" ref="E7:F7" si="3">300*1.35</f>
        <v>405</v>
      </c>
      <c r="F7" s="82">
        <f t="shared" si="3"/>
        <v>405</v>
      </c>
      <c r="G7" s="82">
        <f>290*1.35</f>
        <v>391.5</v>
      </c>
    </row>
    <row r="8">
      <c r="A8" s="115">
        <v>7.0</v>
      </c>
      <c r="B8" s="128" t="s">
        <v>60</v>
      </c>
      <c r="C8" s="118">
        <v>10.0</v>
      </c>
      <c r="D8" s="118">
        <v>10.0</v>
      </c>
      <c r="E8" s="118">
        <v>10.0</v>
      </c>
      <c r="F8" s="118">
        <v>10.0</v>
      </c>
      <c r="G8" s="118">
        <v>10.0</v>
      </c>
    </row>
    <row r="9">
      <c r="A9" s="111"/>
      <c r="B9" s="130" t="s">
        <v>65</v>
      </c>
      <c r="C9" s="7">
        <f t="shared" ref="C9:G9" si="4">SUM(C2:C8)</f>
        <v>1390.075</v>
      </c>
      <c r="D9" s="7">
        <f t="shared" si="4"/>
        <v>1331.575</v>
      </c>
      <c r="E9" s="7">
        <f t="shared" si="4"/>
        <v>1252.825</v>
      </c>
      <c r="F9" s="7">
        <f t="shared" si="4"/>
        <v>1210.575</v>
      </c>
      <c r="G9" s="7">
        <f t="shared" si="4"/>
        <v>1155.275</v>
      </c>
    </row>
    <row r="10">
      <c r="B10" s="131"/>
    </row>
    <row r="11">
      <c r="B11" s="131"/>
    </row>
    <row r="12">
      <c r="A12" s="113" t="s">
        <v>55</v>
      </c>
      <c r="B12" s="113" t="s">
        <v>66</v>
      </c>
      <c r="C12" s="114">
        <v>50.0</v>
      </c>
      <c r="D12" s="114">
        <v>100.0</v>
      </c>
      <c r="E12" s="114">
        <v>200.0</v>
      </c>
      <c r="F12" s="114">
        <v>300.0</v>
      </c>
      <c r="G12" s="114">
        <v>500.0</v>
      </c>
    </row>
    <row r="13">
      <c r="A13" s="115">
        <v>1.0</v>
      </c>
      <c r="B13" s="126" t="str">
        <f>IFERROR(__xludf.DUMMYFUNCTION("IMPORTRANGE(""1HkzfTg_x2lNlvG_oAmvAnugODRXnepM3bnsrF1TbIKU"", ""Папки и изделия экокожа!b43:g43"")"),"Органайзер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13" s="106">
        <f>IFERROR(__xludf.DUMMYFUNCTION("""COMPUTED_VALUE"""),295.0)</f>
        <v>295</v>
      </c>
      <c r="D13" s="106">
        <f>IFERROR(__xludf.DUMMYFUNCTION("""COMPUTED_VALUE"""),275.0)</f>
        <v>275</v>
      </c>
      <c r="E13" s="106">
        <f>IFERROR(__xludf.DUMMYFUNCTION("""COMPUTED_VALUE"""),255.0)</f>
        <v>255</v>
      </c>
      <c r="F13" s="106">
        <f>IFERROR(__xludf.DUMMYFUNCTION("""COMPUTED_VALUE"""),240.0)</f>
        <v>240</v>
      </c>
      <c r="G13" s="106">
        <f>IFERROR(__xludf.DUMMYFUNCTION("""COMPUTED_VALUE"""),225.0)</f>
        <v>225</v>
      </c>
    </row>
    <row r="14">
      <c r="A14" s="119">
        <v>2.0</v>
      </c>
      <c r="B14" s="126" t="str">
        <f>IFERROR(__xludf.DUMMYFUNCTION("IMPORTRANGE(""1HkzfTg_x2lNlvG_oAmvAnugODRXnepM3bnsrF1TbIKU"", ""Папки и изделия экокожа!b32:g32"")"),"Обложка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14" s="106">
        <f>IFERROR(__xludf.DUMMYFUNCTION("""COMPUTED_VALUE"""),260.0)</f>
        <v>260</v>
      </c>
      <c r="D14" s="106">
        <f>IFERROR(__xludf.DUMMYFUNCTION("""COMPUTED_VALUE"""),240.0)</f>
        <v>240</v>
      </c>
      <c r="E14" s="106">
        <f>IFERROR(__xludf.DUMMYFUNCTION("""COMPUTED_VALUE"""),220.0)</f>
        <v>220</v>
      </c>
      <c r="F14" s="106">
        <f>IFERROR(__xludf.DUMMYFUNCTION("""COMPUTED_VALUE"""),205.0)</f>
        <v>205</v>
      </c>
      <c r="G14" s="106">
        <f>IFERROR(__xludf.DUMMYFUNCTION("""COMPUTED_VALUE"""),190.0)</f>
        <v>190</v>
      </c>
    </row>
    <row r="15">
      <c r="A15" s="119">
        <v>3.0</v>
      </c>
      <c r="B15" s="126" t="str">
        <f>IFERROR(__xludf.DUMMYFUNCTION("IMPORTRANGE(""1HkzfTg_x2lNlvG_oAmvAnugODRXnepM3bnsrF1TbIKU"", ""Чехлы и футляры ЭкоКожа!b17:g17"")"),"Футляр - книжка для кредитных карт с четырьмя карманами, RFID блокиратор, экокожа с персонализацией")</f>
        <v>Футляр - книжка для кредитных карт с четырьмя карманами, RFID блокиратор, экокожа с персонализацией</v>
      </c>
      <c r="C15" s="106">
        <f>IFERROR(__xludf.DUMMYFUNCTION("""COMPUTED_VALUE"""),215.0)</f>
        <v>215</v>
      </c>
      <c r="D15" s="106">
        <f>IFERROR(__xludf.DUMMYFUNCTION("""COMPUTED_VALUE"""),210.0)</f>
        <v>210</v>
      </c>
      <c r="E15" s="106">
        <f>IFERROR(__xludf.DUMMYFUNCTION("""COMPUTED_VALUE"""),205.0)</f>
        <v>205</v>
      </c>
      <c r="F15" s="106">
        <f>IFERROR(__xludf.DUMMYFUNCTION("""COMPUTED_VALUE"""),195.0)</f>
        <v>195</v>
      </c>
      <c r="G15" s="106">
        <f>IFERROR(__xludf.DUMMYFUNCTION("""COMPUTED_VALUE"""),185.0)</f>
        <v>185</v>
      </c>
    </row>
    <row r="16">
      <c r="A16" s="115">
        <v>4.0</v>
      </c>
      <c r="B16" s="128" t="s">
        <v>57</v>
      </c>
      <c r="C16" s="82">
        <f t="shared" ref="C16:G16" si="5">(1000/C12+4.5)*1.35</f>
        <v>33.075</v>
      </c>
      <c r="D16" s="82">
        <f t="shared" si="5"/>
        <v>19.575</v>
      </c>
      <c r="E16" s="82">
        <f t="shared" si="5"/>
        <v>12.825</v>
      </c>
      <c r="F16" s="82">
        <f t="shared" si="5"/>
        <v>10.575</v>
      </c>
      <c r="G16" s="82">
        <f t="shared" si="5"/>
        <v>8.775</v>
      </c>
    </row>
    <row r="17">
      <c r="A17" s="119">
        <v>5.0</v>
      </c>
      <c r="B17" s="128" t="s">
        <v>58</v>
      </c>
      <c r="C17" s="118">
        <v>15.0</v>
      </c>
      <c r="D17" s="118">
        <v>15.0</v>
      </c>
      <c r="E17" s="118">
        <v>15.0</v>
      </c>
      <c r="F17" s="118">
        <v>15.0</v>
      </c>
      <c r="G17" s="118">
        <v>15.0</v>
      </c>
    </row>
    <row r="18">
      <c r="A18" s="119">
        <v>6.0</v>
      </c>
      <c r="B18" s="128" t="s">
        <v>64</v>
      </c>
      <c r="C18" s="82">
        <f t="shared" ref="C18:D18" si="6">320*1.35</f>
        <v>432</v>
      </c>
      <c r="D18" s="82">
        <f t="shared" si="6"/>
        <v>432</v>
      </c>
      <c r="E18" s="82">
        <f t="shared" ref="E18:F18" si="7">300*1.35</f>
        <v>405</v>
      </c>
      <c r="F18" s="82">
        <f t="shared" si="7"/>
        <v>405</v>
      </c>
      <c r="G18" s="82">
        <f>290*1.35</f>
        <v>391.5</v>
      </c>
    </row>
    <row r="19">
      <c r="A19" s="115">
        <v>7.0</v>
      </c>
      <c r="B19" s="128" t="s">
        <v>60</v>
      </c>
      <c r="C19" s="118">
        <v>10.0</v>
      </c>
      <c r="D19" s="118">
        <v>10.0</v>
      </c>
      <c r="E19" s="118">
        <v>10.0</v>
      </c>
      <c r="F19" s="118">
        <v>10.0</v>
      </c>
      <c r="G19" s="118">
        <v>10.0</v>
      </c>
    </row>
    <row r="20">
      <c r="A20" s="111"/>
      <c r="B20" s="123" t="s">
        <v>65</v>
      </c>
      <c r="C20" s="7">
        <f t="shared" ref="C20:G20" si="8">SUM(C13:C19)</f>
        <v>1260.075</v>
      </c>
      <c r="D20" s="7">
        <f t="shared" si="8"/>
        <v>1201.575</v>
      </c>
      <c r="E20" s="7">
        <f t="shared" si="8"/>
        <v>1122.825</v>
      </c>
      <c r="F20" s="7">
        <f t="shared" si="8"/>
        <v>1080.575</v>
      </c>
      <c r="G20" s="7">
        <f t="shared" si="8"/>
        <v>1025.275</v>
      </c>
    </row>
    <row r="23">
      <c r="A23" s="132" t="str">
        <f>IFERROR(__xludf.DUMMYFUNCTION("IMPORTRANGE(""1HkzfTg_x2lNlvG_oAmvAnugODRXnepM3bnsrF1TbIKU"", ""Папки и изделия из ПВХ!a107:f108"")"),"")</f>
        <v/>
      </c>
      <c r="B23" s="133" t="str">
        <f>IFERROR(__xludf.DUMMYFUNCTION("""COMPUTED_VALUE"""),"Штампы для тиснение")</f>
        <v>Штампы для тиснение</v>
      </c>
      <c r="C23" s="60" t="str">
        <f>IFERROR(__xludf.DUMMYFUNCTION("""COMPUTED_VALUE"""),"До 50х40 мм (Размер 1)")</f>
        <v>До 50х40 мм (Размер 1)</v>
      </c>
      <c r="D23" s="60" t="str">
        <f>IFERROR(__xludf.DUMMYFUNCTION("""COMPUTED_VALUE"""),"До 100х80 (Размер 2)")</f>
        <v>До 100х80 (Размер 2)</v>
      </c>
      <c r="E23" s="60" t="str">
        <f>IFERROR(__xludf.DUMMYFUNCTION("""COMPUTED_VALUE"""),"До 150х120 (Размер 3)")</f>
        <v>До 150х120 (Размер 3)</v>
      </c>
      <c r="F23" s="60" t="str">
        <f>IFERROR(__xludf.DUMMYFUNCTION("""COMPUTED_VALUE"""),"До 200х160 (Размер 4)")</f>
        <v>До 200х160 (Размер 4)</v>
      </c>
    </row>
    <row r="24">
      <c r="A24" s="135" t="str">
        <f>IFERROR(__xludf.DUMMYFUNCTION("""COMPUTED_VALUE"""),"ШТ-1 (2, 3, 4)")</f>
        <v>ШТ-1 (2, 3, 4)</v>
      </c>
      <c r="B24" s="137" t="str">
        <f>IFERROR(__xludf.DUMMYFUNCTION("""COMPUTED_VALUE"""),"Штамп для тиснения")</f>
        <v>Штамп для тиснения</v>
      </c>
      <c r="C24" s="137" t="str">
        <f>IFERROR(__xludf.DUMMYFUNCTION("""COMPUTED_VALUE"""),"3000 руб")</f>
        <v>3000 руб</v>
      </c>
      <c r="D24" s="137" t="str">
        <f>IFERROR(__xludf.DUMMYFUNCTION("""COMPUTED_VALUE"""),"6000 руб")</f>
        <v>6000 руб</v>
      </c>
      <c r="E24" s="137" t="str">
        <f>IFERROR(__xludf.DUMMYFUNCTION("""COMPUTED_VALUE"""),"12000 руб")</f>
        <v>12000 руб</v>
      </c>
      <c r="F24" s="137" t="str">
        <f>IFERROR(__xludf.DUMMYFUNCTION("""COMPUTED_VALUE"""),"20000 руб")</f>
        <v>20000 руб</v>
      </c>
    </row>
    <row r="28">
      <c r="A28" s="140"/>
      <c r="B28" s="140"/>
      <c r="C28" s="140"/>
      <c r="D28" s="140"/>
      <c r="E28" s="140"/>
      <c r="F28" s="140"/>
      <c r="G28" s="140"/>
    </row>
    <row r="32">
      <c r="A32" s="113" t="s">
        <v>55</v>
      </c>
      <c r="B32" s="113" t="s">
        <v>69</v>
      </c>
      <c r="C32" s="114">
        <v>50.0</v>
      </c>
      <c r="D32" s="114">
        <v>100.0</v>
      </c>
      <c r="E32" s="114">
        <v>200.0</v>
      </c>
      <c r="F32" s="114">
        <v>300.0</v>
      </c>
      <c r="G32" s="114">
        <v>500.0</v>
      </c>
    </row>
    <row r="33">
      <c r="A33" s="115">
        <v>1.0</v>
      </c>
      <c r="B33" s="126" t="str">
        <f>IFERROR(__xludf.DUMMYFUNCTION("IMPORTRANGE(""1HkzfTg_x2lNlvG_oAmvAnugODRXnepM3bnsrF1TbIKU"", ""Папки и изделия экокожа!b44:g44"")"),"Органайзер для путешественника искусственная кожа с полноцветной печатью, дополнительные отделения, 98х215")</f>
        <v>Органайзер для путешественника искусственная кожа с полноцветной печатью, дополнительные отделения, 98х215</v>
      </c>
      <c r="C33" s="106">
        <f>IFERROR(__xludf.DUMMYFUNCTION("""COMPUTED_VALUE"""),345.0)</f>
        <v>345</v>
      </c>
      <c r="D33" s="106">
        <f>IFERROR(__xludf.DUMMYFUNCTION("""COMPUTED_VALUE"""),325.0)</f>
        <v>325</v>
      </c>
      <c r="E33" s="106">
        <f>IFERROR(__xludf.DUMMYFUNCTION("""COMPUTED_VALUE"""),305.0)</f>
        <v>305</v>
      </c>
      <c r="F33" s="106">
        <f>IFERROR(__xludf.DUMMYFUNCTION("""COMPUTED_VALUE"""),290.0)</f>
        <v>290</v>
      </c>
      <c r="G33" s="106">
        <f>IFERROR(__xludf.DUMMYFUNCTION("""COMPUTED_VALUE"""),275.0)</f>
        <v>275</v>
      </c>
    </row>
    <row r="34">
      <c r="A34" s="119">
        <v>2.0</v>
      </c>
      <c r="B34" s="126" t="str">
        <f>IFERROR(__xludf.DUMMYFUNCTION("IMPORTRANGE(""1HkzfTg_x2lNlvG_oAmvAnugODRXnepM3bnsrF1TbIKU"", ""Папки и изделия экокожа!b32:g32"")"),"Обложка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34" s="106">
        <f>IFERROR(__xludf.DUMMYFUNCTION("""COMPUTED_VALUE"""),260.0)</f>
        <v>260</v>
      </c>
      <c r="D34" s="106">
        <f>IFERROR(__xludf.DUMMYFUNCTION("""COMPUTED_VALUE"""),240.0)</f>
        <v>240</v>
      </c>
      <c r="E34" s="106">
        <f>IFERROR(__xludf.DUMMYFUNCTION("""COMPUTED_VALUE"""),220.0)</f>
        <v>220</v>
      </c>
      <c r="F34" s="106">
        <f>IFERROR(__xludf.DUMMYFUNCTION("""COMPUTED_VALUE"""),205.0)</f>
        <v>205</v>
      </c>
      <c r="G34" s="106">
        <f>IFERROR(__xludf.DUMMYFUNCTION("""COMPUTED_VALUE"""),190.0)</f>
        <v>190</v>
      </c>
    </row>
    <row r="35">
      <c r="A35" s="119">
        <v>3.0</v>
      </c>
      <c r="B35" s="126" t="str">
        <f>IFERROR(__xludf.DUMMYFUNCTION("IMPORTRANGE(""1HkzfTg_x2lNlvG_oAmvAnugODRXnepM3bnsrF1TbIKU"", ""Чехлы и футляры ЭкоКожа!b26:g26"")"),"Чехол вертикальный c дополнительным карманом для пластиковой карты с  RFID блокиратором, Экокожа с Флок подложкой, полноцветная печать")</f>
        <v>Чехол вертикальный c дополнительным карманом для пластиковой карты с  RFID блокиратором, Экокожа с Флок подложкой, полноцветная печать</v>
      </c>
      <c r="C35" s="106">
        <f>IFERROR(__xludf.DUMMYFUNCTION("""COMPUTED_VALUE"""),145.0)</f>
        <v>145</v>
      </c>
      <c r="D35" s="106">
        <f>IFERROR(__xludf.DUMMYFUNCTION("""COMPUTED_VALUE"""),140.0)</f>
        <v>140</v>
      </c>
      <c r="E35" s="106">
        <f>IFERROR(__xludf.DUMMYFUNCTION("""COMPUTED_VALUE"""),130.0)</f>
        <v>130</v>
      </c>
      <c r="F35" s="106">
        <f>IFERROR(__xludf.DUMMYFUNCTION("""COMPUTED_VALUE"""),125.0)</f>
        <v>125</v>
      </c>
      <c r="G35" s="106">
        <f>IFERROR(__xludf.DUMMYFUNCTION("""COMPUTED_VALUE"""),115.0)</f>
        <v>115</v>
      </c>
    </row>
    <row r="36">
      <c r="A36" s="115">
        <v>4.0</v>
      </c>
      <c r="B36" s="128" t="s">
        <v>57</v>
      </c>
      <c r="C36" s="82">
        <f t="shared" ref="C36:G36" si="9">(1000/C32+4.5)*1.35</f>
        <v>33.075</v>
      </c>
      <c r="D36" s="82">
        <f t="shared" si="9"/>
        <v>19.575</v>
      </c>
      <c r="E36" s="82">
        <f t="shared" si="9"/>
        <v>12.825</v>
      </c>
      <c r="F36" s="82">
        <f t="shared" si="9"/>
        <v>10.575</v>
      </c>
      <c r="G36" s="82">
        <f t="shared" si="9"/>
        <v>8.775</v>
      </c>
    </row>
    <row r="37">
      <c r="A37" s="119">
        <v>5.0</v>
      </c>
      <c r="B37" s="128" t="s">
        <v>58</v>
      </c>
      <c r="C37" s="118">
        <v>15.0</v>
      </c>
      <c r="D37" s="118">
        <v>15.0</v>
      </c>
      <c r="E37" s="118">
        <v>15.0</v>
      </c>
      <c r="F37" s="118">
        <v>15.0</v>
      </c>
      <c r="G37" s="118">
        <v>15.0</v>
      </c>
    </row>
    <row r="38">
      <c r="A38" s="119">
        <v>6.0</v>
      </c>
      <c r="B38" s="128" t="s">
        <v>64</v>
      </c>
      <c r="C38" s="82">
        <f t="shared" ref="C38:D38" si="10">320*1.35</f>
        <v>432</v>
      </c>
      <c r="D38" s="82">
        <f t="shared" si="10"/>
        <v>432</v>
      </c>
      <c r="E38" s="82">
        <f t="shared" ref="E38:F38" si="11">300*1.35</f>
        <v>405</v>
      </c>
      <c r="F38" s="82">
        <f t="shared" si="11"/>
        <v>405</v>
      </c>
      <c r="G38" s="82">
        <f>290*1.35</f>
        <v>391.5</v>
      </c>
    </row>
    <row r="39">
      <c r="A39" s="115">
        <v>7.0</v>
      </c>
      <c r="B39" s="128" t="s">
        <v>60</v>
      </c>
      <c r="C39" s="118">
        <v>10.0</v>
      </c>
      <c r="D39" s="118">
        <v>10.0</v>
      </c>
      <c r="E39" s="118">
        <v>10.0</v>
      </c>
      <c r="F39" s="118">
        <v>10.0</v>
      </c>
      <c r="G39" s="118">
        <v>10.0</v>
      </c>
    </row>
    <row r="40">
      <c r="A40" s="111"/>
      <c r="B40" s="130" t="s">
        <v>65</v>
      </c>
      <c r="C40" s="7">
        <f t="shared" ref="C40:G40" si="12">SUM(C33:C39)</f>
        <v>1240.075</v>
      </c>
      <c r="D40" s="7">
        <f t="shared" si="12"/>
        <v>1181.575</v>
      </c>
      <c r="E40" s="7">
        <f t="shared" si="12"/>
        <v>1097.825</v>
      </c>
      <c r="F40" s="7">
        <f t="shared" si="12"/>
        <v>1060.575</v>
      </c>
      <c r="G40" s="7">
        <f t="shared" si="12"/>
        <v>1005.275</v>
      </c>
    </row>
    <row r="41">
      <c r="B41" s="131"/>
    </row>
    <row r="42">
      <c r="B42" s="131"/>
    </row>
    <row r="43">
      <c r="A43" s="113" t="s">
        <v>55</v>
      </c>
      <c r="B43" s="113" t="s">
        <v>71</v>
      </c>
      <c r="C43" s="114">
        <v>50.0</v>
      </c>
      <c r="D43" s="114">
        <v>100.0</v>
      </c>
      <c r="E43" s="114">
        <v>200.0</v>
      </c>
      <c r="F43" s="114">
        <v>300.0</v>
      </c>
      <c r="G43" s="114">
        <v>500.0</v>
      </c>
    </row>
    <row r="44">
      <c r="A44" s="115">
        <v>1.0</v>
      </c>
      <c r="B44" s="126" t="str">
        <f>IFERROR(__xludf.DUMMYFUNCTION("IMPORTRANGE(""1HkzfTg_x2lNlvG_oAmvAnugODRXnepM3bnsrF1TbIKU"", ""Папки и изделия экокожа!b43:g43"")"),"Органайзер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44" s="106">
        <f>IFERROR(__xludf.DUMMYFUNCTION("""COMPUTED_VALUE"""),295.0)</f>
        <v>295</v>
      </c>
      <c r="D44" s="106">
        <f>IFERROR(__xludf.DUMMYFUNCTION("""COMPUTED_VALUE"""),275.0)</f>
        <v>275</v>
      </c>
      <c r="E44" s="106">
        <f>IFERROR(__xludf.DUMMYFUNCTION("""COMPUTED_VALUE"""),255.0)</f>
        <v>255</v>
      </c>
      <c r="F44" s="106">
        <f>IFERROR(__xludf.DUMMYFUNCTION("""COMPUTED_VALUE"""),240.0)</f>
        <v>240</v>
      </c>
      <c r="G44" s="106">
        <f>IFERROR(__xludf.DUMMYFUNCTION("""COMPUTED_VALUE"""),225.0)</f>
        <v>225</v>
      </c>
    </row>
    <row r="45">
      <c r="A45" s="119">
        <v>2.0</v>
      </c>
      <c r="B45" s="126" t="str">
        <f>IFERROR(__xludf.DUMMYFUNCTION("IMPORTRANGE(""1HkzfTg_x2lNlvG_oAmvAnugODRXnepM3bnsrF1TbIKU"", ""Папки и изделия экокожа!b32:g32"")"),"Обложка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45" s="106">
        <f>IFERROR(__xludf.DUMMYFUNCTION("""COMPUTED_VALUE"""),260.0)</f>
        <v>260</v>
      </c>
      <c r="D45" s="106">
        <f>IFERROR(__xludf.DUMMYFUNCTION("""COMPUTED_VALUE"""),240.0)</f>
        <v>240</v>
      </c>
      <c r="E45" s="106">
        <f>IFERROR(__xludf.DUMMYFUNCTION("""COMPUTED_VALUE"""),220.0)</f>
        <v>220</v>
      </c>
      <c r="F45" s="106">
        <f>IFERROR(__xludf.DUMMYFUNCTION("""COMPUTED_VALUE"""),205.0)</f>
        <v>205</v>
      </c>
      <c r="G45" s="106">
        <f>IFERROR(__xludf.DUMMYFUNCTION("""COMPUTED_VALUE"""),190.0)</f>
        <v>190</v>
      </c>
    </row>
    <row r="46">
      <c r="A46" s="119">
        <v>3.0</v>
      </c>
      <c r="B46" s="126" t="str">
        <f>IFERROR(__xludf.DUMMYFUNCTION("IMPORTRANGE(""1HkzfTg_x2lNlvG_oAmvAnugODRXnepM3bnsrF1TbIKU"", ""Чехлы и футляры ЭкоКожа!b15:g15"")"),"Чехол вертикальный c дополнительным карманом для пластиковой карты с  RFID блокиратором, Экокожа с Флок подложкой и персонализацией")</f>
        <v>Чехол вертикальный c дополнительным карманом для пластиковой карты с  RFID блокиратором, Экокожа с Флок подложкой и персонализацией</v>
      </c>
      <c r="C46" s="106">
        <f>IFERROR(__xludf.DUMMYFUNCTION("""COMPUTED_VALUE"""),130.0)</f>
        <v>130</v>
      </c>
      <c r="D46" s="106">
        <f>IFERROR(__xludf.DUMMYFUNCTION("""COMPUTED_VALUE"""),120.0)</f>
        <v>120</v>
      </c>
      <c r="E46" s="106">
        <f>IFERROR(__xludf.DUMMYFUNCTION("""COMPUTED_VALUE"""),115.0)</f>
        <v>115</v>
      </c>
      <c r="F46" s="106">
        <f>IFERROR(__xludf.DUMMYFUNCTION("""COMPUTED_VALUE"""),110.0)</f>
        <v>110</v>
      </c>
      <c r="G46" s="106">
        <f>IFERROR(__xludf.DUMMYFUNCTION("""COMPUTED_VALUE"""),100.0)</f>
        <v>100</v>
      </c>
    </row>
    <row r="47">
      <c r="A47" s="115">
        <v>4.0</v>
      </c>
      <c r="B47" s="128" t="s">
        <v>57</v>
      </c>
      <c r="C47" s="82">
        <f t="shared" ref="C47:G47" si="13">(1000/C43+4.5)*1.35</f>
        <v>33.075</v>
      </c>
      <c r="D47" s="82">
        <f t="shared" si="13"/>
        <v>19.575</v>
      </c>
      <c r="E47" s="82">
        <f t="shared" si="13"/>
        <v>12.825</v>
      </c>
      <c r="F47" s="82">
        <f t="shared" si="13"/>
        <v>10.575</v>
      </c>
      <c r="G47" s="82">
        <f t="shared" si="13"/>
        <v>8.775</v>
      </c>
    </row>
    <row r="48">
      <c r="A48" s="119">
        <v>5.0</v>
      </c>
      <c r="B48" s="128" t="s">
        <v>58</v>
      </c>
      <c r="C48" s="118">
        <v>15.0</v>
      </c>
      <c r="D48" s="118">
        <v>15.0</v>
      </c>
      <c r="E48" s="118">
        <v>15.0</v>
      </c>
      <c r="F48" s="118">
        <v>15.0</v>
      </c>
      <c r="G48" s="118">
        <v>15.0</v>
      </c>
    </row>
    <row r="49">
      <c r="A49" s="119">
        <v>6.0</v>
      </c>
      <c r="B49" s="128" t="s">
        <v>64</v>
      </c>
      <c r="C49" s="82">
        <f t="shared" ref="C49:D49" si="14">320*1.35</f>
        <v>432</v>
      </c>
      <c r="D49" s="82">
        <f t="shared" si="14"/>
        <v>432</v>
      </c>
      <c r="E49" s="82">
        <f t="shared" ref="E49:F49" si="15">300*1.35</f>
        <v>405</v>
      </c>
      <c r="F49" s="82">
        <f t="shared" si="15"/>
        <v>405</v>
      </c>
      <c r="G49" s="82">
        <f>290*1.35</f>
        <v>391.5</v>
      </c>
    </row>
    <row r="50">
      <c r="A50" s="115">
        <v>7.0</v>
      </c>
      <c r="B50" s="128" t="s">
        <v>60</v>
      </c>
      <c r="C50" s="118">
        <v>10.0</v>
      </c>
      <c r="D50" s="118">
        <v>10.0</v>
      </c>
      <c r="E50" s="118">
        <v>10.0</v>
      </c>
      <c r="F50" s="118">
        <v>10.0</v>
      </c>
      <c r="G50" s="118">
        <v>10.0</v>
      </c>
    </row>
    <row r="51">
      <c r="A51" s="111"/>
      <c r="B51" s="130" t="s">
        <v>65</v>
      </c>
      <c r="C51" s="7">
        <f t="shared" ref="C51:G51" si="16">SUM(C44:C50)</f>
        <v>1175.075</v>
      </c>
      <c r="D51" s="7">
        <f t="shared" si="16"/>
        <v>1111.575</v>
      </c>
      <c r="E51" s="7">
        <f t="shared" si="16"/>
        <v>1032.825</v>
      </c>
      <c r="F51" s="7">
        <f t="shared" si="16"/>
        <v>995.575</v>
      </c>
      <c r="G51" s="7">
        <f t="shared" si="16"/>
        <v>940.275</v>
      </c>
    </row>
    <row r="54">
      <c r="A54" s="132" t="str">
        <f>IFERROR(__xludf.DUMMYFUNCTION("IMPORTRANGE(""1HkzfTg_x2lNlvG_oAmvAnugODRXnepM3bnsrF1TbIKU"", ""Папки и изделия из ПВХ!a107:f108"")"),"")</f>
        <v/>
      </c>
      <c r="B54" s="133" t="str">
        <f>IFERROR(__xludf.DUMMYFUNCTION("""COMPUTED_VALUE"""),"Штампы для тиснение")</f>
        <v>Штампы для тиснение</v>
      </c>
      <c r="C54" s="60" t="str">
        <f>IFERROR(__xludf.DUMMYFUNCTION("""COMPUTED_VALUE"""),"До 50х40 мм (Размер 1)")</f>
        <v>До 50х40 мм (Размер 1)</v>
      </c>
      <c r="D54" s="60" t="str">
        <f>IFERROR(__xludf.DUMMYFUNCTION("""COMPUTED_VALUE"""),"До 100х80 (Размер 2)")</f>
        <v>До 100х80 (Размер 2)</v>
      </c>
      <c r="E54" s="60" t="str">
        <f>IFERROR(__xludf.DUMMYFUNCTION("""COMPUTED_VALUE"""),"До 150х120 (Размер 3)")</f>
        <v>До 150х120 (Размер 3)</v>
      </c>
      <c r="F54" s="60" t="str">
        <f>IFERROR(__xludf.DUMMYFUNCTION("""COMPUTED_VALUE"""),"До 200х160 (Размер 4)")</f>
        <v>До 200х160 (Размер 4)</v>
      </c>
    </row>
    <row r="55">
      <c r="A55" s="135" t="str">
        <f>IFERROR(__xludf.DUMMYFUNCTION("""COMPUTED_VALUE"""),"ШТ-1 (2, 3, 4)")</f>
        <v>ШТ-1 (2, 3, 4)</v>
      </c>
      <c r="B55" s="137" t="str">
        <f>IFERROR(__xludf.DUMMYFUNCTION("""COMPUTED_VALUE"""),"Штамп для тиснения")</f>
        <v>Штамп для тиснения</v>
      </c>
      <c r="C55" s="137" t="str">
        <f>IFERROR(__xludf.DUMMYFUNCTION("""COMPUTED_VALUE"""),"3000 руб")</f>
        <v>3000 руб</v>
      </c>
      <c r="D55" s="137" t="str">
        <f>IFERROR(__xludf.DUMMYFUNCTION("""COMPUTED_VALUE"""),"6000 руб")</f>
        <v>6000 руб</v>
      </c>
      <c r="E55" s="137" t="str">
        <f>IFERROR(__xludf.DUMMYFUNCTION("""COMPUTED_VALUE"""),"12000 руб")</f>
        <v>12000 руб</v>
      </c>
      <c r="F55" s="137" t="str">
        <f>IFERROR(__xludf.DUMMYFUNCTION("""COMPUTED_VALUE"""),"20000 руб")</f>
        <v>20000 руб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.0"/>
    <col customWidth="1" min="2" max="2" width="110.57"/>
    <col customWidth="1" hidden="1" min="3" max="3" width="13.29"/>
    <col customWidth="1" min="4" max="4" width="13.29"/>
  </cols>
  <sheetData>
    <row r="1">
      <c r="A1" s="6" t="str">
        <f>IFERROR(__xludf.DUMMYFUNCTION("IMPORTRANGE(""1HkzfTg_x2lNlvG_oAmvAnugODRXnepM3bnsrF1TbIKU"", ""Папки и изделия экокожа!A2:b71"")"),"Папка-уголок")</f>
        <v>Папка-уголок</v>
      </c>
      <c r="B1" s="134" t="str">
        <f>IFERROR(__xludf.DUMMYFUNCTION("""COMPUTED_VALUE"""),"")</f>
        <v/>
      </c>
      <c r="C1" s="136" t="s">
        <v>67</v>
      </c>
      <c r="D1" s="138" t="s">
        <v>67</v>
      </c>
    </row>
    <row r="2">
      <c r="A2" s="10" t="str">
        <f>IFERROR(__xludf.DUMMYFUNCTION("""COMPUTED_VALUE"""),"ЭПУ-01")</f>
        <v>ЭПУ-01</v>
      </c>
      <c r="B2" s="20" t="str">
        <f>IFERROR(__xludf.DUMMYFUNCTION("""COMPUTED_VALUE"""),"Папка-уголок (формат А4) искусственная кожа с персонализацией, толщина материала 650 мкм")</f>
        <v>Папка-уголок (формат А4) искусственная кожа с персонализацией, толщина материала 650 мкм</v>
      </c>
      <c r="C2" s="141">
        <v>620.0</v>
      </c>
      <c r="D2" s="144">
        <f t="shared" ref="D2:D3" si="1">C2*5</f>
        <v>3100</v>
      </c>
    </row>
    <row r="3">
      <c r="A3" s="10" t="str">
        <f>IFERROR(__xludf.DUMMYFUNCTION("""COMPUTED_VALUE"""),"ЭПУ-01П")</f>
        <v>ЭПУ-01П</v>
      </c>
      <c r="B3" s="20" t="str">
        <f>IFERROR(__xludf.DUMMYFUNCTION("""COMPUTED_VALUE"""),"Папка-уголок (формат А4) искусственная кожа с полноцветной печатью, толщина материала 650 мкм")</f>
        <v>Папка-уголок (формат А4) искусственная кожа с полноцветной печатью, толщина материала 650 мкм</v>
      </c>
      <c r="C3" s="141">
        <v>720.0</v>
      </c>
      <c r="D3" s="144">
        <f t="shared" si="1"/>
        <v>3600</v>
      </c>
    </row>
    <row r="4">
      <c r="A4" s="6" t="str">
        <f>IFERROR(__xludf.DUMMYFUNCTION("""COMPUTED_VALUE"""),"Папка с карманом ")</f>
        <v>Папка с карманом </v>
      </c>
      <c r="B4" s="134" t="str">
        <f>IFERROR(__xludf.DUMMYFUNCTION("""COMPUTED_VALUE"""),"")</f>
        <v/>
      </c>
      <c r="C4" s="136" t="s">
        <v>67</v>
      </c>
      <c r="D4" s="138" t="s">
        <v>67</v>
      </c>
    </row>
    <row r="5">
      <c r="A5" s="10" t="str">
        <f>IFERROR(__xludf.DUMMYFUNCTION("""COMPUTED_VALUE"""),"ЭПК - 01")</f>
        <v>ЭПК - 01</v>
      </c>
      <c r="B5" s="20" t="str">
        <f>IFERROR(__xludf.DUMMYFUNCTION("""COMPUTED_VALUE"""),"Папка классическая с карманом (формат А4), искусственная кожа с персонализацией, толщина мтериала 650 мкм")</f>
        <v>Папка классическая с карманом (формат А4), искусственная кожа с персонализацией, толщина мтериала 650 мкм</v>
      </c>
      <c r="C5" s="141">
        <v>670.0</v>
      </c>
      <c r="D5" s="144">
        <f t="shared" ref="D5:D6" si="2">C5*5</f>
        <v>3350</v>
      </c>
    </row>
    <row r="6">
      <c r="A6" s="10" t="str">
        <f>IFERROR(__xludf.DUMMYFUNCTION("""COMPUTED_VALUE"""),"ЭПК - 01П")</f>
        <v>ЭПК - 01П</v>
      </c>
      <c r="B6" s="20" t="str">
        <f>IFERROR(__xludf.DUMMYFUNCTION("""COMPUTED_VALUE"""),"Папка классическая с карманом (формат А4), искусственная кожа с полноцветной печатью, толщина мтериала 650 мкм")</f>
        <v>Папка классическая с карманом (формат А4), искусственная кожа с полноцветной печатью, толщина мтериала 650 мкм</v>
      </c>
      <c r="C6" s="141">
        <v>770.0</v>
      </c>
      <c r="D6" s="144">
        <f t="shared" si="2"/>
        <v>3850</v>
      </c>
    </row>
    <row r="7">
      <c r="A7" s="6" t="str">
        <f>IFERROR(__xludf.DUMMYFUNCTION("""COMPUTED_VALUE"""),"Папка - конверт на кнопке ")</f>
        <v>Папка - конверт на кнопке </v>
      </c>
      <c r="B7" s="134" t="str">
        <f>IFERROR(__xludf.DUMMYFUNCTION("""COMPUTED_VALUE"""),"")</f>
        <v/>
      </c>
      <c r="C7" s="136" t="s">
        <v>67</v>
      </c>
      <c r="D7" s="138" t="s">
        <v>67</v>
      </c>
    </row>
    <row r="8">
      <c r="A8" s="10" t="str">
        <f>IFERROR(__xludf.DUMMYFUNCTION("""COMPUTED_VALUE"""),"ЭПКК - 01")</f>
        <v>ЭПКК - 01</v>
      </c>
      <c r="B8" s="20" t="str">
        <f>IFERROR(__xludf.DUMMYFUNCTION("""COMPUTED_VALUE"""),"Папка-конверт на кнопке (формат А5) искусственная кожа с персонализацией, 650 мкм")</f>
        <v>Папка-конверт на кнопке (формат А5) искусственная кожа с персонализацией, 650 мкм</v>
      </c>
      <c r="C8" s="141">
        <v>610.0</v>
      </c>
      <c r="D8" s="144">
        <f t="shared" ref="D8:D11" si="3">C8*5</f>
        <v>3050</v>
      </c>
    </row>
    <row r="9">
      <c r="A9" s="10" t="str">
        <f>IFERROR(__xludf.DUMMYFUNCTION("""COMPUTED_VALUE"""),"ЭПКК - 01П")</f>
        <v>ЭПКК - 01П</v>
      </c>
      <c r="B9" s="20" t="str">
        <f>IFERROR(__xludf.DUMMYFUNCTION("""COMPUTED_VALUE"""),"Папка-конверт на кнопке (формат А5) искусственная кожа с полноцветной печатью, 650 мкм")</f>
        <v>Папка-конверт на кнопке (формат А5) искусственная кожа с полноцветной печатью, 650 мкм</v>
      </c>
      <c r="C9" s="141">
        <v>700.0</v>
      </c>
      <c r="D9" s="144">
        <f t="shared" si="3"/>
        <v>3500</v>
      </c>
    </row>
    <row r="10">
      <c r="A10" s="10" t="str">
        <f>IFERROR(__xludf.DUMMYFUNCTION("""COMPUTED_VALUE"""),"ЭПКК - 02")</f>
        <v>ЭПКК - 02</v>
      </c>
      <c r="B10" s="20" t="str">
        <f>IFERROR(__xludf.DUMMYFUNCTION("""COMPUTED_VALUE"""),"Папка-конверт на кнопке (формат А4) искусственная кожа с персонализацией, 650 мкм")</f>
        <v>Папка-конверт на кнопке (формат А4) искусственная кожа с персонализацией, 650 мкм</v>
      </c>
      <c r="C10" s="141">
        <v>690.0</v>
      </c>
      <c r="D10" s="144">
        <f t="shared" si="3"/>
        <v>3450</v>
      </c>
    </row>
    <row r="11">
      <c r="A11" s="10" t="str">
        <f>IFERROR(__xludf.DUMMYFUNCTION("""COMPUTED_VALUE"""),"ЭПКК - 02П")</f>
        <v>ЭПКК - 02П</v>
      </c>
      <c r="B11" s="20" t="str">
        <f>IFERROR(__xludf.DUMMYFUNCTION("""COMPUTED_VALUE"""),"Папка-конверт на кнопке (формат А4) искусственная кожа с полноцветной печатью, 650 мкм")</f>
        <v>Папка-конверт на кнопке (формат А4) искусственная кожа с полноцветной печатью, 650 мкм</v>
      </c>
      <c r="C11" s="141">
        <v>790.0</v>
      </c>
      <c r="D11" s="144">
        <f t="shared" si="3"/>
        <v>3950</v>
      </c>
    </row>
    <row r="12">
      <c r="A12" s="6" t="str">
        <f>IFERROR(__xludf.DUMMYFUNCTION("""COMPUTED_VALUE"""),"Папка - конверт на молнии ")</f>
        <v>Папка - конверт на молнии </v>
      </c>
      <c r="B12" s="134" t="str">
        <f>IFERROR(__xludf.DUMMYFUNCTION("""COMPUTED_VALUE"""),"")</f>
        <v/>
      </c>
      <c r="C12" s="136" t="s">
        <v>67</v>
      </c>
      <c r="D12" s="138" t="s">
        <v>67</v>
      </c>
    </row>
    <row r="13">
      <c r="A13" s="10" t="str">
        <f>IFERROR(__xludf.DUMMYFUNCTION("""COMPUTED_VALUE"""),"ЭПКМ - 01")</f>
        <v>ЭПКМ - 01</v>
      </c>
      <c r="B13" s="20" t="str">
        <f>IFERROR(__xludf.DUMMYFUNCTION("""COMPUTED_VALUE"""),"Папка-пенал на молнии (205х90) искусственная кожа с персонализацией, 500 мкм")</f>
        <v>Папка-пенал на молнии (205х90) искусственная кожа с персонализацией, 500 мкм</v>
      </c>
      <c r="C13" s="141">
        <v>285.0</v>
      </c>
      <c r="D13" s="144">
        <f t="shared" ref="D13:D18" si="4">C13*5</f>
        <v>1425</v>
      </c>
    </row>
    <row r="14">
      <c r="A14" s="10" t="str">
        <f>IFERROR(__xludf.DUMMYFUNCTION("""COMPUTED_VALUE"""),"ЭПКМ - 01П")</f>
        <v>ЭПКМ - 01П</v>
      </c>
      <c r="B14" s="20" t="str">
        <f>IFERROR(__xludf.DUMMYFUNCTION("""COMPUTED_VALUE"""),"Папка-пенал на молнии (205х90) искусственная кожа с полноцветной печатью, 500 мкм")</f>
        <v>Папка-пенал на молнии (205х90) искусственная кожа с полноцветной печатью, 500 мкм</v>
      </c>
      <c r="C14" s="141">
        <v>325.0</v>
      </c>
      <c r="D14" s="144">
        <f t="shared" si="4"/>
        <v>1625</v>
      </c>
    </row>
    <row r="15">
      <c r="A15" s="10" t="str">
        <f>IFERROR(__xludf.DUMMYFUNCTION("""COMPUTED_VALUE"""),"ЭПКМ - 02")</f>
        <v>ЭПКМ - 02</v>
      </c>
      <c r="B15" s="20" t="str">
        <f>IFERROR(__xludf.DUMMYFUNCTION("""COMPUTED_VALUE"""),"Папка-конверт на молнии (формат А5) искусственная кожа с персонализацией, 500 мкм")</f>
        <v>Папка-конверт на молнии (формат А5) искусственная кожа с персонализацией, 500 мкм</v>
      </c>
      <c r="C15" s="141">
        <v>560.0</v>
      </c>
      <c r="D15" s="144">
        <f t="shared" si="4"/>
        <v>2800</v>
      </c>
    </row>
    <row r="16">
      <c r="A16" s="10" t="str">
        <f>IFERROR(__xludf.DUMMYFUNCTION("""COMPUTED_VALUE"""),"ЭПКМ - 02П")</f>
        <v>ЭПКМ - 02П</v>
      </c>
      <c r="B16" s="20" t="str">
        <f>IFERROR(__xludf.DUMMYFUNCTION("""COMPUTED_VALUE"""),"Папка-конверт на молнии (формат А5) искусственная кожа с полноцветной печатью, 500 мкм")</f>
        <v>Папка-конверт на молнии (формат А5) искусственная кожа с полноцветной печатью, 500 мкм</v>
      </c>
      <c r="C16" s="141">
        <v>630.0</v>
      </c>
      <c r="D16" s="144">
        <f t="shared" si="4"/>
        <v>3150</v>
      </c>
    </row>
    <row r="17">
      <c r="A17" s="10" t="str">
        <f>IFERROR(__xludf.DUMMYFUNCTION("""COMPUTED_VALUE"""),"ЭПКМ - 03")</f>
        <v>ЭПКМ - 03</v>
      </c>
      <c r="B17" s="20" t="str">
        <f>IFERROR(__xludf.DUMMYFUNCTION("""COMPUTED_VALUE"""),"Папка-конверт на молнии (формат А4) искусственная кожа с персонализацией, 500 мкм")</f>
        <v>Папка-конверт на молнии (формат А4) искусственная кожа с персонализацией, 500 мкм</v>
      </c>
      <c r="C17" s="141">
        <v>650.0</v>
      </c>
      <c r="D17" s="144">
        <f t="shared" si="4"/>
        <v>3250</v>
      </c>
    </row>
    <row r="18">
      <c r="A18" s="10" t="str">
        <f>IFERROR(__xludf.DUMMYFUNCTION("""COMPUTED_VALUE"""),"ЭПКМ - 03П")</f>
        <v>ЭПКМ - 03П</v>
      </c>
      <c r="B18" s="20" t="str">
        <f>IFERROR(__xludf.DUMMYFUNCTION("""COMPUTED_VALUE"""),"Папка-конверт на молнии (формат А4) искусственная кожа с полноцветной печатью, 500")</f>
        <v>Папка-конверт на молнии (формат А4) искусственная кожа с полноцветной печатью, 500</v>
      </c>
      <c r="C18" s="141">
        <v>750.0</v>
      </c>
      <c r="D18" s="144">
        <f t="shared" si="4"/>
        <v>3750</v>
      </c>
    </row>
    <row r="19">
      <c r="A19" s="6" t="str">
        <f>IFERROR(__xludf.DUMMYFUNCTION("""COMPUTED_VALUE"""),"Папка - Планшет ")</f>
        <v>Папка - Планшет </v>
      </c>
      <c r="B19" s="134" t="str">
        <f>IFERROR(__xludf.DUMMYFUNCTION("""COMPUTED_VALUE"""),"")</f>
        <v/>
      </c>
      <c r="C19" s="136" t="s">
        <v>67</v>
      </c>
      <c r="D19" s="138" t="s">
        <v>67</v>
      </c>
    </row>
    <row r="20">
      <c r="A20" s="10" t="str">
        <f>IFERROR(__xludf.DUMMYFUNCTION("""COMPUTED_VALUE"""),"ППК - 01")</f>
        <v>ППК - 01</v>
      </c>
      <c r="B20" s="20" t="str">
        <f>IFERROR(__xludf.DUMMYFUNCTION("""COMPUTED_VALUE"""),"Папка-Планшет, искусственная кожа с персонализацией, картон/кожа 230х318х3.0 мм.")</f>
        <v>Папка-Планшет, искусственная кожа с персонализацией, картон/кожа 230х318х3.0 мм.</v>
      </c>
      <c r="C20" s="141">
        <v>535.0</v>
      </c>
      <c r="D20" s="144">
        <f t="shared" ref="D20:D23" si="5">C20*5</f>
        <v>2675</v>
      </c>
    </row>
    <row r="21">
      <c r="A21" s="10" t="str">
        <f>IFERROR(__xludf.DUMMYFUNCTION("""COMPUTED_VALUE"""),"ППК - 01Ц")</f>
        <v>ППК - 01Ц</v>
      </c>
      <c r="B21" s="20" t="str">
        <f>IFERROR(__xludf.DUMMYFUNCTION("""COMPUTED_VALUE"""),"Папка-Планшет, искусственная кожа с полноцветной печатью, картон/кожа 230х318х3.0 мм.")</f>
        <v>Папка-Планшет, искусственная кожа с полноцветной печатью, картон/кожа 230х318х3.0 мм.</v>
      </c>
      <c r="C21" s="141">
        <v>635.0</v>
      </c>
      <c r="D21" s="144">
        <f t="shared" si="5"/>
        <v>3175</v>
      </c>
    </row>
    <row r="22">
      <c r="A22" s="10" t="str">
        <f>IFERROR(__xludf.DUMMYFUNCTION("""COMPUTED_VALUE"""),"ППКК - 02")</f>
        <v>ППКК - 02</v>
      </c>
      <c r="B22" s="20" t="str">
        <f>IFERROR(__xludf.DUMMYFUNCTION("""COMPUTED_VALUE"""),"Папка-Планшет с крышкой, искусственная кожа с персонализацией, картон/кожа 230х318х3.0 мм.")</f>
        <v>Папка-Планшет с крышкой, искусственная кожа с персонализацией, картон/кожа 230х318х3.0 мм.</v>
      </c>
      <c r="C22" s="141">
        <v>650.0</v>
      </c>
      <c r="D22" s="144">
        <f t="shared" si="5"/>
        <v>3250</v>
      </c>
    </row>
    <row r="23">
      <c r="A23" s="10" t="str">
        <f>IFERROR(__xludf.DUMMYFUNCTION("""COMPUTED_VALUE"""),"ППКК - 02Ц")</f>
        <v>ППКК - 02Ц</v>
      </c>
      <c r="B23" s="20" t="str">
        <f>IFERROR(__xludf.DUMMYFUNCTION("""COMPUTED_VALUE"""),"Папка-Планшет с крышкой, искусственная кожа с полноцветной печатью, картон/кожа 230х318х3.0 мм.")</f>
        <v>Папка-Планшет с крышкой, искусственная кожа с полноцветной печатью, картон/кожа 230х318х3.0 мм.</v>
      </c>
      <c r="C23" s="141">
        <v>750.0</v>
      </c>
      <c r="D23" s="144">
        <f t="shared" si="5"/>
        <v>3750</v>
      </c>
    </row>
    <row r="24">
      <c r="A24" s="148" t="str">
        <f>IFERROR(__xludf.DUMMYFUNCTION("""COMPUTED_VALUE"""),"Папка на кольцах (архивная)")</f>
        <v>Папка на кольцах (архивная)</v>
      </c>
      <c r="B24" s="149" t="str">
        <f>IFERROR(__xludf.DUMMYFUNCTION("""COMPUTED_VALUE"""),"")</f>
        <v/>
      </c>
      <c r="C24" s="150">
        <v>7000.0</v>
      </c>
      <c r="D24" s="151">
        <f>C24</f>
        <v>7000</v>
      </c>
    </row>
    <row r="25">
      <c r="A25" s="28" t="str">
        <f>IFERROR(__xludf.DUMMYFUNCTION("""COMPUTED_VALUE"""),"ПАК - 01")</f>
        <v>ПАК - 01</v>
      </c>
      <c r="B25" s="39" t="str">
        <f>IFERROR(__xludf.DUMMYFUNCTION("""COMPUTED_VALUE"""),"Папка на 4-х кольцах формат А4, искусственная кожа с персонализацией, ширина корешка 35/55 мм")</f>
        <v>Папка на 4-х кольцах формат А4, искусственная кожа с персонализацией, ширина корешка 35/55 мм</v>
      </c>
      <c r="C25" s="28"/>
      <c r="D25" s="152"/>
    </row>
    <row r="26">
      <c r="A26" s="28" t="str">
        <f>IFERROR(__xludf.DUMMYFUNCTION("""COMPUTED_VALUE"""),"ПАК - 01Ц")</f>
        <v>ПАК - 01Ц</v>
      </c>
      <c r="B26" s="39" t="str">
        <f>IFERROR(__xludf.DUMMYFUNCTION("""COMPUTED_VALUE"""),"Папка на 4-х кольцах формат А4, искусственная кожа с полноцветной печатью, ширина корешка 35/55 мм")</f>
        <v>Папка на 4-х кольцах формат А4, искусственная кожа с полноцветной печатью, ширина корешка 35/55 мм</v>
      </c>
      <c r="C26" s="28"/>
      <c r="D26" s="152"/>
    </row>
    <row r="27">
      <c r="A27" s="6" t="str">
        <f>IFERROR(__xludf.DUMMYFUNCTION("""COMPUTED_VALUE"""),"Штамп ")</f>
        <v>Штамп </v>
      </c>
      <c r="B27" s="134" t="str">
        <f>IFERROR(__xludf.DUMMYFUNCTION("""COMPUTED_VALUE"""),"Штамп для тиснения ")</f>
        <v>Штамп для тиснения </v>
      </c>
      <c r="C27" s="136" t="s">
        <v>67</v>
      </c>
      <c r="D27" s="138" t="s">
        <v>67</v>
      </c>
    </row>
    <row r="28">
      <c r="A28" s="10" t="str">
        <f>IFERROR(__xludf.DUMMYFUNCTION("""COMPUTED_VALUE"""),"")</f>
        <v/>
      </c>
      <c r="B28" s="20" t="str">
        <f>IFERROR(__xludf.DUMMYFUNCTION("""COMPUTED_VALUE"""),"")</f>
        <v/>
      </c>
      <c r="C28" s="141">
        <v>260.0</v>
      </c>
      <c r="D28" s="144">
        <f t="shared" ref="D28:D31" si="6">C28*5</f>
        <v>1300</v>
      </c>
    </row>
    <row r="29">
      <c r="A29" s="10" t="str">
        <f>IFERROR(__xludf.DUMMYFUNCTION("""COMPUTED_VALUE""")," ИЗДЕЛИЯ (Искусственная Кожа)")</f>
        <v> ИЗДЕЛИЯ (Искусственная Кожа)</v>
      </c>
      <c r="B29" s="20" t="str">
        <f>IFERROR(__xludf.DUMMYFUNCTION("""COMPUTED_VALUE"""),"")</f>
        <v/>
      </c>
      <c r="C29" s="141">
        <v>310.0</v>
      </c>
      <c r="D29" s="144">
        <f t="shared" si="6"/>
        <v>1550</v>
      </c>
    </row>
    <row r="30">
      <c r="A30" s="10" t="str">
        <f>IFERROR(__xludf.DUMMYFUNCTION("""COMPUTED_VALUE"""),"Обложка для паспорта")</f>
        <v>Обложка для паспорта</v>
      </c>
      <c r="B30" s="20" t="str">
        <f>IFERROR(__xludf.DUMMYFUNCTION("""COMPUTED_VALUE"""),"")</f>
        <v/>
      </c>
      <c r="C30" s="141">
        <v>220.0</v>
      </c>
      <c r="D30" s="144">
        <f t="shared" si="6"/>
        <v>1100</v>
      </c>
    </row>
    <row r="31">
      <c r="A31" s="10" t="str">
        <f>IFERROR(__xludf.DUMMYFUNCTION("""COMPUTED_VALUE"""),"КОП-01")</f>
        <v>КОП-01</v>
      </c>
      <c r="B31" s="20" t="str">
        <f>IFERROR(__xludf.DUMMYFUNCTION("""COMPUTED_VALUE"""),"Обложка для паспорта искусственная кожа с персонализацией, дополнительные отделения,  135х195 мм")</f>
        <v>Обложка для паспорта искусственная кожа с персонализацией, дополнительные отделения,  135х195 мм</v>
      </c>
      <c r="C31" s="141">
        <v>270.0</v>
      </c>
      <c r="D31" s="144">
        <f t="shared" si="6"/>
        <v>1350</v>
      </c>
    </row>
    <row r="32">
      <c r="A32" s="6" t="str">
        <f>IFERROR(__xludf.DUMMYFUNCTION("""COMPUTED_VALUE"""),"КОП-01П")</f>
        <v>КОП-01П</v>
      </c>
      <c r="B32" s="134" t="str">
        <f>IFERROR(__xludf.DUMMYFUNCTION("""COMPUTED_VALUE"""),"Обложка для паспорта искусственная кожа с полноцветной печатью, дополнительные отделения,135х195 мм")</f>
        <v>Обложка для паспорта искусственная кожа с полноцветной печатью, дополнительные отделения,135х195 мм</v>
      </c>
      <c r="C32" s="136" t="s">
        <v>67</v>
      </c>
      <c r="D32" s="138" t="s">
        <v>67</v>
      </c>
    </row>
    <row r="33">
      <c r="A33" s="10" t="str">
        <f>IFERROR(__xludf.DUMMYFUNCTION("""COMPUTED_VALUE"""),"КОП-02")</f>
        <v>КОП-02</v>
      </c>
      <c r="B33" s="20" t="str">
        <f>IFERROR(__xludf.DUMMYFUNCTION("""COMPUTED_VALUE"""),"Обложка для паспорта искусственная кожа с персонализацией , 131х188 мм")</f>
        <v>Обложка для паспорта искусственная кожа с персонализацией , 131х188 мм</v>
      </c>
      <c r="C33" s="141">
        <v>180.0</v>
      </c>
      <c r="D33" s="144">
        <f t="shared" ref="D33:D34" si="7">C33*5</f>
        <v>900</v>
      </c>
    </row>
    <row r="34">
      <c r="A34" s="10" t="str">
        <f>IFERROR(__xludf.DUMMYFUNCTION("""COMPUTED_VALUE"""),"КОП-02П")</f>
        <v>КОП-02П</v>
      </c>
      <c r="B34" s="20" t="str">
        <f>IFERROR(__xludf.DUMMYFUNCTION("""COMPUTED_VALUE"""),"Обложка для паспорта искусственная кожа с полноцветной печатью, 131х188 мм")</f>
        <v>Обложка для паспорта искусственная кожа с полноцветной печатью, 131х188 мм</v>
      </c>
      <c r="C34" s="141">
        <v>220.0</v>
      </c>
      <c r="D34" s="144">
        <f t="shared" si="7"/>
        <v>1100</v>
      </c>
    </row>
    <row r="35">
      <c r="A35" s="6" t="str">
        <f>IFERROR(__xludf.DUMMYFUNCTION("""COMPUTED_VALUE"""),"Обложка для студенческого")</f>
        <v>Обложка для студенческого</v>
      </c>
      <c r="B35" s="134" t="str">
        <f>IFERROR(__xludf.DUMMYFUNCTION("""COMPUTED_VALUE"""),"")</f>
        <v/>
      </c>
      <c r="C35" s="136" t="s">
        <v>67</v>
      </c>
      <c r="D35" s="138" t="s">
        <v>67</v>
      </c>
    </row>
    <row r="36">
      <c r="A36" s="10" t="str">
        <f>IFERROR(__xludf.DUMMYFUNCTION("""COMPUTED_VALUE"""),"КОУ-01")</f>
        <v>КОУ-01</v>
      </c>
      <c r="B36" s="20" t="str">
        <f>IFERROR(__xludf.DUMMYFUNCTION("""COMPUTED_VALUE"""),"Обложка для студенческого искусственная кожа с персонализацией, 216х78 мм")</f>
        <v>Обложка для студенческого искусственная кожа с персонализацией, 216х78 мм</v>
      </c>
      <c r="C36" s="141">
        <v>300.0</v>
      </c>
      <c r="D36" s="144">
        <f t="shared" ref="D36:D37" si="8">C36*5</f>
        <v>1500</v>
      </c>
    </row>
    <row r="37">
      <c r="A37" s="10" t="str">
        <f>IFERROR(__xludf.DUMMYFUNCTION("""COMPUTED_VALUE"""),"КОУ-01П")</f>
        <v>КОУ-01П</v>
      </c>
      <c r="B37" s="20" t="str">
        <f>IFERROR(__xludf.DUMMYFUNCTION("""COMPUTED_VALUE"""),"Обложка для студенческого искусственная кожа с полноцветной печатью, 216х78 мм")</f>
        <v>Обложка для студенческого искусственная кожа с полноцветной печатью, 216х78 мм</v>
      </c>
      <c r="C37" s="141">
        <v>350.0</v>
      </c>
      <c r="D37" s="144">
        <f t="shared" si="8"/>
        <v>1750</v>
      </c>
    </row>
    <row r="38">
      <c r="A38" s="6" t="str">
        <f>IFERROR(__xludf.DUMMYFUNCTION("""COMPUTED_VALUE"""),"Обложки для автодокументов")</f>
        <v>Обложки для автодокументов</v>
      </c>
      <c r="B38" s="134" t="str">
        <f>IFERROR(__xludf.DUMMYFUNCTION("""COMPUTED_VALUE"""),"")</f>
        <v/>
      </c>
      <c r="C38" s="136" t="s">
        <v>67</v>
      </c>
      <c r="D38" s="138" t="s">
        <v>67</v>
      </c>
    </row>
    <row r="39">
      <c r="A39" s="10" t="str">
        <f>IFERROR(__xludf.DUMMYFUNCTION("""COMPUTED_VALUE"""),"КОД-01")</f>
        <v>КОД-01</v>
      </c>
      <c r="B39" s="20" t="str">
        <f>IFERROR(__xludf.DUMMYFUNCTION("""COMPUTED_VALUE"""),"Обложка для автодокументов искусственная кожа с персонализацией, дополнительные отделения, 135х195 мм")</f>
        <v>Обложка для автодокументов искусственная кожа с персонализацией, дополнительные отделения, 135х195 мм</v>
      </c>
      <c r="C39" s="141">
        <v>295.0</v>
      </c>
      <c r="D39" s="144">
        <f t="shared" ref="D39:D42" si="9">C39*5</f>
        <v>1475</v>
      </c>
    </row>
    <row r="40">
      <c r="A40" s="10" t="str">
        <f>IFERROR(__xludf.DUMMYFUNCTION("""COMPUTED_VALUE"""),"КОД-01П")</f>
        <v>КОД-01П</v>
      </c>
      <c r="B40" s="20" t="str">
        <f>IFERROR(__xludf.DUMMYFUNCTION("""COMPUTED_VALUE"""),"Обложка для автодокументов искусственная кожа с полноцветной печатью, дополнительные отделения,135х195 мм")</f>
        <v>Обложка для автодокументов искусственная кожа с полноцветной печатью, дополнительные отделения,135х195 мм</v>
      </c>
      <c r="C40" s="141">
        <v>345.0</v>
      </c>
      <c r="D40" s="144">
        <f t="shared" si="9"/>
        <v>1725</v>
      </c>
    </row>
    <row r="41">
      <c r="A41" s="10" t="str">
        <f>IFERROR(__xludf.DUMMYFUNCTION("""COMPUTED_VALUE"""),"Органайзер для путешественника")</f>
        <v>Органайзер для путешественника</v>
      </c>
      <c r="B41" s="20" t="str">
        <f>IFERROR(__xludf.DUMMYFUNCTION("""COMPUTED_VALUE"""),"")</f>
        <v/>
      </c>
      <c r="C41" s="141">
        <v>550.0</v>
      </c>
      <c r="D41" s="144">
        <f t="shared" si="9"/>
        <v>2750</v>
      </c>
    </row>
    <row r="42">
      <c r="A42" s="10" t="str">
        <f>IFERROR(__xludf.DUMMYFUNCTION("""COMPUTED_VALUE"""),"КОХП-01")</f>
        <v>КОХП-01</v>
      </c>
      <c r="B42" s="20" t="str">
        <f>IFERROR(__xludf.DUMMYFUNCTION("""COMPUTED_VALUE"""),"Органайзер для путешественника искусственная кожа с персонализацией, дополнительные отделения, 98х215")</f>
        <v>Органайзер для путешественника искусственная кожа с персонализацией, дополнительные отделения, 98х215</v>
      </c>
      <c r="C42" s="141">
        <v>620.0</v>
      </c>
      <c r="D42" s="144">
        <f t="shared" si="9"/>
        <v>3100</v>
      </c>
    </row>
    <row r="43">
      <c r="A43" s="6" t="str">
        <f>IFERROR(__xludf.DUMMYFUNCTION("""COMPUTED_VALUE"""),"КОХП-01П")</f>
        <v>КОХП-01П</v>
      </c>
      <c r="B43" s="134" t="str">
        <f>IFERROR(__xludf.DUMMYFUNCTION("""COMPUTED_VALUE"""),"Органайзер для путешественника искусственная кожа с полноцветной печатью, дополнительные отделения, 98х215")</f>
        <v>Органайзер для путешественника искусственная кожа с полноцветной печатью, дополнительные отделения, 98х215</v>
      </c>
      <c r="C43" s="136" t="s">
        <v>67</v>
      </c>
      <c r="D43" s="138" t="s">
        <v>67</v>
      </c>
    </row>
    <row r="44">
      <c r="A44" s="10" t="str">
        <f>IFERROR(__xludf.DUMMYFUNCTION("""COMPUTED_VALUE"""),"КОХП-02")</f>
        <v>КОХП-02</v>
      </c>
      <c r="B44" s="20" t="str">
        <f>IFERROR(__xludf.DUMMYFUNCTION("""COMPUTED_VALUE"""),"Органайзер для путешественника семейный искусственная кожа с персонализацией, дополнительные отделения, 150х230")</f>
        <v>Органайзер для путешественника семейный искусственная кожа с персонализацией, дополнительные отделения, 150х230</v>
      </c>
      <c r="C44" s="141">
        <v>130.0</v>
      </c>
      <c r="D44" s="144">
        <f t="shared" ref="D44:D47" si="10">C44*5</f>
        <v>650</v>
      </c>
    </row>
    <row r="45">
      <c r="A45" s="10" t="str">
        <f>IFERROR(__xludf.DUMMYFUNCTION("""COMPUTED_VALUE"""),"КОХП-02П")</f>
        <v>КОХП-02П</v>
      </c>
      <c r="B45" s="20" t="str">
        <f>IFERROR(__xludf.DUMMYFUNCTION("""COMPUTED_VALUE"""),"Органайзер для путешественника семейный искусственная кожа с полноцветной печатью, дополнительные отделения, 150х230")</f>
        <v>Органайзер для путешественника семейный искусственная кожа с полноцветной печатью, дополнительные отделения, 150х230</v>
      </c>
      <c r="C45" s="141">
        <v>150.0</v>
      </c>
      <c r="D45" s="144">
        <f t="shared" si="10"/>
        <v>750</v>
      </c>
    </row>
    <row r="46">
      <c r="A46" s="10" t="str">
        <f>IFERROR(__xludf.DUMMYFUNCTION("""COMPUTED_VALUE"""),"")</f>
        <v/>
      </c>
      <c r="B46" s="20" t="str">
        <f>IFERROR(__xludf.DUMMYFUNCTION("""COMPUTED_VALUE"""),"Надбавка за внутреннюю запечатку полноцветом изделия КОХП-01П(в этом случае внутренний прозрачный карман убирается)")</f>
        <v>Надбавка за внутреннюю запечатку полноцветом изделия КОХП-01П(в этом случае внутренний прозрачный карман убирается)</v>
      </c>
      <c r="C46" s="141">
        <v>140.0</v>
      </c>
      <c r="D46" s="144">
        <f t="shared" si="10"/>
        <v>700</v>
      </c>
    </row>
    <row r="47">
      <c r="A47" s="10" t="str">
        <f>IFERROR(__xludf.DUMMYFUNCTION("""COMPUTED_VALUE"""),"Багажная Бирка")</f>
        <v>Багажная Бирка</v>
      </c>
      <c r="B47" s="20" t="str">
        <f>IFERROR(__xludf.DUMMYFUNCTION("""COMPUTED_VALUE"""),"")</f>
        <v/>
      </c>
      <c r="C47" s="141">
        <v>160.0</v>
      </c>
      <c r="D47" s="144">
        <f t="shared" si="10"/>
        <v>800</v>
      </c>
    </row>
    <row r="48">
      <c r="A48" s="6" t="str">
        <f>IFERROR(__xludf.DUMMYFUNCTION("""COMPUTED_VALUE"""),"ББ-01")</f>
        <v>ББ-01</v>
      </c>
      <c r="B48" s="134" t="str">
        <f>IFERROR(__xludf.DUMMYFUNCTION("""COMPUTED_VALUE"""),"Багажная бирка искусственная кожа с персонализацией")</f>
        <v>Багажная бирка искусственная кожа с персонализацией</v>
      </c>
      <c r="C48" s="136" t="s">
        <v>67</v>
      </c>
      <c r="D48" s="138" t="s">
        <v>67</v>
      </c>
    </row>
    <row r="49">
      <c r="A49" s="10" t="str">
        <f>IFERROR(__xludf.DUMMYFUNCTION("""COMPUTED_VALUE"""),"ББ-01П")</f>
        <v>ББ-01П</v>
      </c>
      <c r="B49" s="20" t="str">
        <f>IFERROR(__xludf.DUMMYFUNCTION("""COMPUTED_VALUE"""),"Багажная бирка искусственная кожа с полноцветной печатью")</f>
        <v>Багажная бирка искусственная кожа с полноцветной печатью</v>
      </c>
      <c r="C49" s="141">
        <v>270.0</v>
      </c>
      <c r="D49" s="144">
        <f t="shared" ref="D49:D50" si="11">C49*5</f>
        <v>1350</v>
      </c>
    </row>
    <row r="50">
      <c r="A50" s="10" t="str">
        <f>IFERROR(__xludf.DUMMYFUNCTION("""COMPUTED_VALUE"""),"ББ-02")</f>
        <v>ББ-02</v>
      </c>
      <c r="B50" s="20" t="str">
        <f>IFERROR(__xludf.DUMMYFUNCTION("""COMPUTED_VALUE"""),"Багажная бирка на СЕРОЙ резинке, искусственная кожа с персонализацией")</f>
        <v>Багажная бирка на СЕРОЙ резинке, искусственная кожа с персонализацией</v>
      </c>
      <c r="C50" s="141">
        <v>320.0</v>
      </c>
      <c r="D50" s="144">
        <f t="shared" si="11"/>
        <v>1600</v>
      </c>
    </row>
    <row r="51">
      <c r="A51" s="6" t="str">
        <f>IFERROR(__xludf.DUMMYFUNCTION("""COMPUTED_VALUE"""),"ББ-02П")</f>
        <v>ББ-02П</v>
      </c>
      <c r="B51" s="134" t="str">
        <f>IFERROR(__xludf.DUMMYFUNCTION("""COMPUTED_VALUE"""),"Багажная бирка на СЕРОЙ резинке, искусственная кожа с полноцветной печатью")</f>
        <v>Багажная бирка на СЕРОЙ резинке, искусственная кожа с полноцветной печатью</v>
      </c>
      <c r="C51" s="136" t="s">
        <v>67</v>
      </c>
      <c r="D51" s="138" t="s">
        <v>67</v>
      </c>
    </row>
    <row r="52">
      <c r="A52" s="10" t="str">
        <f>IFERROR(__xludf.DUMMYFUNCTION("""COMPUTED_VALUE"""),"Футляр для очков")</f>
        <v>Футляр для очков</v>
      </c>
      <c r="B52" s="20" t="str">
        <f>IFERROR(__xludf.DUMMYFUNCTION("""COMPUTED_VALUE"""),"")</f>
        <v/>
      </c>
      <c r="C52" s="141">
        <v>255.0</v>
      </c>
      <c r="D52" s="144">
        <f t="shared" ref="D52:D53" si="12">C52*5</f>
        <v>1275</v>
      </c>
    </row>
    <row r="53">
      <c r="A53" s="10" t="str">
        <f>IFERROR(__xludf.DUMMYFUNCTION("""COMPUTED_VALUE"""),"ФО-1")</f>
        <v>ФО-1</v>
      </c>
      <c r="B53" s="20" t="str">
        <f>IFERROR(__xludf.DUMMYFUNCTION("""COMPUTED_VALUE"""),"Футляр для очков искусственная кожа с персонализацией")</f>
        <v>Футляр для очков искусственная кожа с персонализацией</v>
      </c>
      <c r="C53" s="141">
        <v>305.0</v>
      </c>
      <c r="D53" s="144">
        <f t="shared" si="12"/>
        <v>1525</v>
      </c>
    </row>
    <row r="54">
      <c r="A54" s="6" t="str">
        <f>IFERROR(__xludf.DUMMYFUNCTION("""COMPUTED_VALUE"""),"ФО-1П")</f>
        <v>ФО-1П</v>
      </c>
      <c r="B54" s="134" t="str">
        <f>IFERROR(__xludf.DUMMYFUNCTION("""COMPUTED_VALUE"""),"Футляр для очков искусственная кожа с полноцветной печатью")</f>
        <v>Футляр для очков искусственная кожа с полноцветной печатью</v>
      </c>
      <c r="C54" s="136" t="s">
        <v>67</v>
      </c>
      <c r="D54" s="138" t="s">
        <v>67</v>
      </c>
    </row>
    <row r="55">
      <c r="A55" s="10" t="str">
        <f>IFERROR(__xludf.DUMMYFUNCTION("""COMPUTED_VALUE"""),"Пенал для ручек")</f>
        <v>Пенал для ручек</v>
      </c>
      <c r="B55" s="20" t="str">
        <f>IFERROR(__xludf.DUMMYFUNCTION("""COMPUTED_VALUE"""),"")</f>
        <v/>
      </c>
      <c r="C55" s="141">
        <v>250.0</v>
      </c>
      <c r="D55" s="144">
        <f t="shared" ref="D55:D56" si="13">C55*5</f>
        <v>1250</v>
      </c>
    </row>
    <row r="56">
      <c r="A56" s="10" t="str">
        <f>IFERROR(__xludf.DUMMYFUNCTION("""COMPUTED_VALUE"""),"ПР-1")</f>
        <v>ПР-1</v>
      </c>
      <c r="B56" s="20" t="str">
        <f>IFERROR(__xludf.DUMMYFUNCTION("""COMPUTED_VALUE"""),"Пенал для ручек искусственная кожа с персонализацией")</f>
        <v>Пенал для ручек искусственная кожа с персонализацией</v>
      </c>
      <c r="C56" s="141">
        <v>280.0</v>
      </c>
      <c r="D56" s="144">
        <f t="shared" si="13"/>
        <v>1400</v>
      </c>
    </row>
    <row r="57">
      <c r="A57" s="6" t="str">
        <f>IFERROR(__xludf.DUMMYFUNCTION("""COMPUTED_VALUE"""),"ПР-1П")</f>
        <v>ПР-1П</v>
      </c>
      <c r="B57" s="42" t="str">
        <f>IFERROR(__xludf.DUMMYFUNCTION("""COMPUTED_VALUE"""),"Пенал для ручек искусственная кожа с полноцветной печатью")</f>
        <v>Пенал для ручек искусственная кожа с полноцветной печатью</v>
      </c>
      <c r="C57" s="136" t="s">
        <v>67</v>
      </c>
      <c r="D57" s="138" t="s">
        <v>67</v>
      </c>
    </row>
    <row r="58">
      <c r="A58" s="10" t="str">
        <f>IFERROR(__xludf.DUMMYFUNCTION("""COMPUTED_VALUE"""),"ФУТЛЯР ДЛЯ СТИКЕРОВ")</f>
        <v>ФУТЛЯР ДЛЯ СТИКЕРОВ</v>
      </c>
      <c r="B58" s="20" t="str">
        <f>IFERROR(__xludf.DUMMYFUNCTION("""COMPUTED_VALUE"""),"")</f>
        <v/>
      </c>
      <c r="C58" s="141">
        <v>530.0</v>
      </c>
      <c r="D58" s="144">
        <f t="shared" ref="D58:D61" si="14">C58*5</f>
        <v>2650</v>
      </c>
    </row>
    <row r="59">
      <c r="A59" s="10" t="str">
        <f>IFERROR(__xludf.DUMMYFUNCTION("""COMPUTED_VALUE"""),"ФС-1")</f>
        <v>ФС-1</v>
      </c>
      <c r="B59" s="20" t="str">
        <f>IFERROR(__xludf.DUMMYFUNCTION("""COMPUTED_VALUE"""),"Футляр для стикеров искусственная кожа с персонализацией")</f>
        <v>Футляр для стикеров искусственная кожа с персонализацией</v>
      </c>
      <c r="C59" s="141">
        <v>590.0</v>
      </c>
      <c r="D59" s="144">
        <f t="shared" si="14"/>
        <v>2950</v>
      </c>
    </row>
    <row r="60">
      <c r="A60" s="10" t="str">
        <f>IFERROR(__xludf.DUMMYFUNCTION("""COMPUTED_VALUE"""),"ФС-1П")</f>
        <v>ФС-1П</v>
      </c>
      <c r="B60" s="20" t="str">
        <f>IFERROR(__xludf.DUMMYFUNCTION("""COMPUTED_VALUE"""),"Футляр для стикеров искусственная кожа с полноцветной печатью")</f>
        <v>Футляр для стикеров искусственная кожа с полноцветной печатью</v>
      </c>
      <c r="C60" s="155">
        <v>800.0</v>
      </c>
      <c r="D60" s="144">
        <f t="shared" si="14"/>
        <v>4000</v>
      </c>
    </row>
    <row r="61">
      <c r="A61" s="10" t="str">
        <f>IFERROR(__xludf.DUMMYFUNCTION("""COMPUTED_VALUE"""),"БЛОКНОТ-ПЛАНШЕТ С ОБЛОЖКОЙ")</f>
        <v>БЛОКНОТ-ПЛАНШЕТ С ОБЛОЖКОЙ</v>
      </c>
      <c r="B61" s="20" t="str">
        <f>IFERROR(__xludf.DUMMYFUNCTION("""COMPUTED_VALUE"""),"")</f>
        <v/>
      </c>
      <c r="C61" s="141">
        <v>900.0</v>
      </c>
      <c r="D61" s="144">
        <f t="shared" si="14"/>
        <v>4500</v>
      </c>
    </row>
    <row r="62">
      <c r="A62" s="6" t="str">
        <f>IFERROR(__xludf.DUMMYFUNCTION("""COMPUTED_VALUE"""),"БПА6-01")</f>
        <v>БПА6-01</v>
      </c>
      <c r="B62" s="42" t="str">
        <f>IFERROR(__xludf.DUMMYFUNCTION("""COMPUTED_VALUE"""),"Блокнот-планшет А6 с обложкой искусственная кожа, персонализация, 50 листов")</f>
        <v>Блокнот-планшет А6 с обложкой искусственная кожа, персонализация, 50 листов</v>
      </c>
      <c r="C62" s="136" t="s">
        <v>67</v>
      </c>
      <c r="D62" s="138" t="s">
        <v>67</v>
      </c>
    </row>
    <row r="63">
      <c r="A63" s="10" t="str">
        <f>IFERROR(__xludf.DUMMYFUNCTION("""COMPUTED_VALUE"""),"БПА6-01П")</f>
        <v>БПА6-01П</v>
      </c>
      <c r="B63" s="20" t="str">
        <f>IFERROR(__xludf.DUMMYFUNCTION("""COMPUTED_VALUE"""),"Блокнот-планшет А6 с обложкой искусственная кожа, полноцветная печать, 50 листов")</f>
        <v>Блокнот-планшет А6 с обложкой искусственная кожа, полноцветная печать, 50 листов</v>
      </c>
      <c r="C63" s="141">
        <v>850.0</v>
      </c>
      <c r="D63" s="144">
        <f t="shared" ref="D63:D68" si="15">C63*5</f>
        <v>4250</v>
      </c>
    </row>
    <row r="64">
      <c r="A64" s="10" t="str">
        <f>IFERROR(__xludf.DUMMYFUNCTION("""COMPUTED_VALUE"""),"БПА4-02")</f>
        <v>БПА4-02</v>
      </c>
      <c r="B64" s="20" t="str">
        <f>IFERROR(__xludf.DUMMYFUNCTION("""COMPUTED_VALUE"""),"Блокнот-планшет А4 с обложкой искусственная кожа, персонализация, 50 листов")</f>
        <v>Блокнот-планшет А4 с обложкой искусственная кожа, персонализация, 50 листов</v>
      </c>
      <c r="C64" s="141">
        <v>950.0</v>
      </c>
      <c r="D64" s="144">
        <f t="shared" si="15"/>
        <v>4750</v>
      </c>
    </row>
    <row r="65">
      <c r="A65" s="10" t="str">
        <f>IFERROR(__xludf.DUMMYFUNCTION("""COMPUTED_VALUE"""),"БПА4-02П")</f>
        <v>БПА4-02П</v>
      </c>
      <c r="B65" s="20" t="str">
        <f>IFERROR(__xludf.DUMMYFUNCTION("""COMPUTED_VALUE"""),"Блокнот-планшет А4 с обложкой искусственная кожа, полноцветная печать, 50 листов")</f>
        <v>Блокнот-планшет А4 с обложкой искусственная кожа, полноцветная печать, 50 листов</v>
      </c>
      <c r="C65" s="141">
        <v>350.0</v>
      </c>
      <c r="D65" s="144">
        <f t="shared" si="15"/>
        <v>1750</v>
      </c>
    </row>
    <row r="66">
      <c r="A66" s="10" t="str">
        <f>IFERROR(__xludf.DUMMYFUNCTION("""COMPUTED_VALUE"""),"НАСТОЛЬНЫЕ МАТЫ (БЮВАРЫ)")</f>
        <v>НАСТОЛЬНЫЕ МАТЫ (БЮВАРЫ)</v>
      </c>
      <c r="B66" s="20" t="str">
        <f>IFERROR(__xludf.DUMMYFUNCTION("""COMPUTED_VALUE"""),"")</f>
        <v/>
      </c>
      <c r="C66" s="141">
        <v>400.0</v>
      </c>
      <c r="D66" s="144">
        <f t="shared" si="15"/>
        <v>2000</v>
      </c>
    </row>
    <row r="67">
      <c r="A67" s="10" t="str">
        <f>IFERROR(__xludf.DUMMYFUNCTION("""COMPUTED_VALUE"""),"НМ-1")</f>
        <v>НМ-1</v>
      </c>
      <c r="B67" s="20" t="str">
        <f>IFERROR(__xludf.DUMMYFUNCTION("""COMPUTED_VALUE"""),"Настольный мат (Бювар), искусственная кожа с персонализацией, антискользящая подложка, 450х305 мм")</f>
        <v>Настольный мат (Бювар), искусственная кожа с персонализацией, антискользящая подложка, 450х305 мм</v>
      </c>
      <c r="C67" s="155">
        <v>1400.0</v>
      </c>
      <c r="D67" s="144">
        <f t="shared" si="15"/>
        <v>7000</v>
      </c>
    </row>
    <row r="68">
      <c r="A68" s="10" t="str">
        <f>IFERROR(__xludf.DUMMYFUNCTION("""COMPUTED_VALUE"""),"НМ-1П")</f>
        <v>НМ-1П</v>
      </c>
      <c r="B68" s="20" t="str">
        <f>IFERROR(__xludf.DUMMYFUNCTION("""COMPUTED_VALUE"""),"Настольный мат (Бювар), искусственная кожа  с полноцветной печатью, антискользящая подложка, 450х305 мм")</f>
        <v>Настольный мат (Бювар), искусственная кожа  с полноцветной печатью, антискользящая подложка, 450х305 мм</v>
      </c>
      <c r="C68" s="141">
        <v>1600.0</v>
      </c>
      <c r="D68" s="144">
        <f t="shared" si="15"/>
        <v>8000</v>
      </c>
    </row>
    <row r="69">
      <c r="A69" s="156" t="str">
        <f>IFERROR(__xludf.DUMMYFUNCTION("""COMPUTED_VALUE"""),"НКМ-1")</f>
        <v>НКМ-1</v>
      </c>
      <c r="B69" s="90" t="str">
        <f>IFERROR(__xludf.DUMMYFUNCTION("""COMPUTED_VALUE"""),"Коврик для мыши, искусственная кожа с персонализацией, антискользящая подложка, 220х305 мм")</f>
        <v>Коврик для мыши, искусственная кожа с персонализацией, антискользящая подложка, 220х305 мм</v>
      </c>
      <c r="C69" s="150">
        <v>7000.0</v>
      </c>
      <c r="D69" s="151">
        <f>C69</f>
        <v>7000</v>
      </c>
    </row>
    <row r="70">
      <c r="A70" t="str">
        <f>IFERROR(__xludf.DUMMYFUNCTION("""COMPUTED_VALUE"""),"НКМ-1П")</f>
        <v>НКМ-1П</v>
      </c>
      <c r="B70" s="131" t="str">
        <f>IFERROR(__xludf.DUMMYFUNCTION("""COMPUTED_VALUE"""),"Коврик для мыши, искусственная кожа с полноцветной печатью, антискользящая подложка, 220х305 мм")</f>
        <v>Коврик для мыши, искусственная кожа с полноцветной печатью, антискользящая подложка, 220х305 мм</v>
      </c>
      <c r="C70" s="28"/>
      <c r="D70" s="157"/>
    </row>
    <row r="71">
      <c r="B71" s="159"/>
      <c r="C71" s="160"/>
      <c r="D71" s="161"/>
    </row>
    <row r="72">
      <c r="B72" s="163" t="s">
        <v>77</v>
      </c>
      <c r="C72" s="68"/>
      <c r="D72" s="165"/>
    </row>
    <row r="73">
      <c r="B73" s="159"/>
      <c r="C73" s="68"/>
      <c r="D73" s="165"/>
    </row>
    <row r="74">
      <c r="B74" s="131"/>
      <c r="D74" s="167"/>
    </row>
    <row r="75">
      <c r="B75" s="131"/>
      <c r="D75" s="167"/>
    </row>
    <row r="76">
      <c r="B76" s="131"/>
      <c r="D76" s="167"/>
    </row>
    <row r="77">
      <c r="B77" s="131"/>
      <c r="D77" s="167"/>
    </row>
    <row r="78">
      <c r="B78" s="131"/>
      <c r="D78" s="167"/>
    </row>
    <row r="79">
      <c r="B79" s="131"/>
      <c r="D79" s="167"/>
    </row>
    <row r="80">
      <c r="B80" s="131"/>
      <c r="D80" s="167"/>
    </row>
    <row r="81">
      <c r="B81" s="131"/>
      <c r="D81" s="167"/>
    </row>
    <row r="82">
      <c r="B82" s="131"/>
      <c r="D82" s="167"/>
    </row>
    <row r="83">
      <c r="B83" s="131"/>
      <c r="D83" s="167"/>
    </row>
    <row r="84">
      <c r="B84" s="131"/>
      <c r="D84" s="167"/>
    </row>
    <row r="85">
      <c r="B85" s="131"/>
      <c r="D85" s="167"/>
    </row>
    <row r="86">
      <c r="B86" s="131"/>
      <c r="D86" s="167"/>
    </row>
    <row r="87">
      <c r="B87" s="131"/>
      <c r="D87" s="167"/>
    </row>
    <row r="88">
      <c r="B88" s="131"/>
      <c r="D88" s="167"/>
    </row>
    <row r="89">
      <c r="B89" s="131"/>
      <c r="D89" s="167"/>
    </row>
    <row r="90">
      <c r="B90" s="131"/>
      <c r="D90" s="167"/>
    </row>
    <row r="91">
      <c r="B91" s="131"/>
      <c r="D91" s="167"/>
    </row>
    <row r="92">
      <c r="B92" s="131"/>
      <c r="D92" s="167"/>
    </row>
    <row r="93">
      <c r="B93" s="131"/>
      <c r="D93" s="167"/>
    </row>
    <row r="94">
      <c r="B94" s="131"/>
      <c r="D94" s="167"/>
    </row>
    <row r="95">
      <c r="B95" s="131"/>
      <c r="D95" s="167"/>
    </row>
    <row r="96">
      <c r="B96" s="131"/>
      <c r="D96" s="167"/>
    </row>
    <row r="97">
      <c r="B97" s="131"/>
      <c r="D97" s="167"/>
    </row>
    <row r="98">
      <c r="B98" s="131"/>
      <c r="D98" s="167"/>
    </row>
    <row r="99">
      <c r="B99" s="131"/>
      <c r="D99" s="167"/>
    </row>
    <row r="100">
      <c r="B100" s="131"/>
      <c r="D100" s="167"/>
    </row>
    <row r="101">
      <c r="B101" s="131"/>
      <c r="D101" s="167"/>
    </row>
    <row r="102">
      <c r="B102" s="131"/>
      <c r="D102" s="167"/>
    </row>
    <row r="103">
      <c r="B103" s="131"/>
      <c r="D103" s="167"/>
    </row>
    <row r="104">
      <c r="B104" s="131"/>
      <c r="D104" s="167"/>
    </row>
    <row r="105">
      <c r="B105" s="131"/>
      <c r="D105" s="167"/>
    </row>
    <row r="106">
      <c r="B106" s="131"/>
      <c r="D106" s="167"/>
    </row>
    <row r="107">
      <c r="B107" s="131"/>
      <c r="D107" s="167"/>
    </row>
    <row r="108">
      <c r="B108" s="131"/>
      <c r="D108" s="167"/>
    </row>
    <row r="109">
      <c r="B109" s="131"/>
      <c r="D109" s="167"/>
    </row>
    <row r="110">
      <c r="B110" s="131"/>
      <c r="D110" s="167"/>
    </row>
    <row r="111">
      <c r="B111" s="131"/>
      <c r="D111" s="167"/>
    </row>
    <row r="112">
      <c r="B112" s="131"/>
      <c r="D112" s="167"/>
    </row>
    <row r="113">
      <c r="B113" s="131"/>
      <c r="D113" s="167"/>
    </row>
    <row r="114">
      <c r="B114" s="131"/>
      <c r="D114" s="167"/>
    </row>
    <row r="115">
      <c r="B115" s="131"/>
      <c r="D115" s="167"/>
    </row>
    <row r="116">
      <c r="B116" s="131"/>
      <c r="D116" s="167"/>
    </row>
    <row r="117">
      <c r="B117" s="131"/>
      <c r="D117" s="167"/>
    </row>
    <row r="118">
      <c r="B118" s="131"/>
      <c r="D118" s="167"/>
    </row>
    <row r="119">
      <c r="B119" s="131"/>
      <c r="D119" s="167"/>
    </row>
    <row r="120">
      <c r="B120" s="131"/>
      <c r="D120" s="167"/>
    </row>
    <row r="121">
      <c r="B121" s="131"/>
      <c r="D121" s="167"/>
    </row>
    <row r="122">
      <c r="B122" s="131"/>
      <c r="D122" s="167"/>
    </row>
    <row r="123">
      <c r="B123" s="131"/>
      <c r="D123" s="167"/>
    </row>
    <row r="124">
      <c r="B124" s="131"/>
      <c r="D124" s="167"/>
    </row>
    <row r="125">
      <c r="B125" s="131"/>
      <c r="D125" s="167"/>
    </row>
    <row r="126">
      <c r="B126" s="131"/>
      <c r="D126" s="167"/>
    </row>
    <row r="127">
      <c r="B127" s="131"/>
      <c r="D127" s="167"/>
    </row>
    <row r="128">
      <c r="B128" s="131"/>
      <c r="D128" s="167"/>
    </row>
    <row r="129">
      <c r="B129" s="131"/>
      <c r="D129" s="167"/>
    </row>
    <row r="130">
      <c r="B130" s="131"/>
      <c r="D130" s="167"/>
    </row>
    <row r="131">
      <c r="B131" s="131"/>
      <c r="D131" s="167"/>
    </row>
    <row r="132">
      <c r="B132" s="131"/>
      <c r="D132" s="167"/>
    </row>
    <row r="133">
      <c r="B133" s="131"/>
      <c r="D133" s="167"/>
    </row>
    <row r="134">
      <c r="B134" s="131"/>
      <c r="D134" s="167"/>
    </row>
    <row r="135">
      <c r="B135" s="131"/>
      <c r="D135" s="167"/>
    </row>
    <row r="136">
      <c r="B136" s="131"/>
      <c r="D136" s="167"/>
    </row>
    <row r="137">
      <c r="B137" s="131"/>
      <c r="D137" s="167"/>
    </row>
    <row r="138">
      <c r="B138" s="131"/>
      <c r="D138" s="167"/>
    </row>
    <row r="139">
      <c r="B139" s="131"/>
      <c r="D139" s="167"/>
    </row>
    <row r="140">
      <c r="B140" s="131"/>
      <c r="D140" s="167"/>
    </row>
    <row r="141">
      <c r="B141" s="131"/>
      <c r="D141" s="167"/>
    </row>
    <row r="142">
      <c r="B142" s="131"/>
      <c r="D142" s="167"/>
    </row>
    <row r="143">
      <c r="B143" s="131"/>
      <c r="D143" s="167"/>
    </row>
    <row r="144">
      <c r="B144" s="131"/>
      <c r="D144" s="167"/>
    </row>
    <row r="145">
      <c r="B145" s="131"/>
      <c r="D145" s="167"/>
    </row>
    <row r="146">
      <c r="B146" s="131"/>
      <c r="D146" s="167"/>
    </row>
    <row r="147">
      <c r="B147" s="131"/>
      <c r="D147" s="167"/>
    </row>
    <row r="148">
      <c r="B148" s="131"/>
      <c r="D148" s="167"/>
    </row>
    <row r="149">
      <c r="B149" s="131"/>
      <c r="D149" s="167"/>
    </row>
    <row r="150">
      <c r="B150" s="131"/>
      <c r="D150" s="167"/>
    </row>
    <row r="151">
      <c r="B151" s="131"/>
      <c r="D151" s="167"/>
    </row>
    <row r="152">
      <c r="B152" s="131"/>
      <c r="D152" s="167"/>
    </row>
    <row r="153">
      <c r="B153" s="131"/>
      <c r="D153" s="167"/>
    </row>
    <row r="154">
      <c r="B154" s="131"/>
      <c r="D154" s="167"/>
    </row>
    <row r="155">
      <c r="B155" s="131"/>
      <c r="D155" s="167"/>
    </row>
    <row r="156">
      <c r="B156" s="131"/>
      <c r="D156" s="167"/>
    </row>
    <row r="157">
      <c r="B157" s="131"/>
      <c r="D157" s="167"/>
    </row>
    <row r="158">
      <c r="B158" s="131"/>
      <c r="D158" s="167"/>
    </row>
    <row r="159">
      <c r="B159" s="131"/>
      <c r="D159" s="167"/>
    </row>
    <row r="160">
      <c r="B160" s="131"/>
      <c r="D160" s="167"/>
    </row>
    <row r="161">
      <c r="B161" s="131"/>
      <c r="D161" s="167"/>
    </row>
    <row r="162">
      <c r="B162" s="131"/>
      <c r="D162" s="167"/>
    </row>
    <row r="163">
      <c r="B163" s="131"/>
      <c r="D163" s="167"/>
    </row>
    <row r="164">
      <c r="B164" s="131"/>
      <c r="D164" s="167"/>
    </row>
    <row r="165">
      <c r="B165" s="131"/>
      <c r="D165" s="167"/>
    </row>
    <row r="166">
      <c r="B166" s="131"/>
      <c r="D166" s="167"/>
    </row>
    <row r="167">
      <c r="B167" s="131"/>
      <c r="D167" s="167"/>
    </row>
    <row r="168">
      <c r="B168" s="131"/>
      <c r="D168" s="167"/>
    </row>
    <row r="169">
      <c r="B169" s="131"/>
      <c r="D169" s="167"/>
    </row>
    <row r="170">
      <c r="B170" s="131"/>
      <c r="D170" s="167"/>
    </row>
    <row r="171">
      <c r="B171" s="131"/>
      <c r="D171" s="167"/>
    </row>
    <row r="172">
      <c r="B172" s="131"/>
      <c r="D172" s="167"/>
    </row>
    <row r="173">
      <c r="B173" s="131"/>
      <c r="D173" s="167"/>
    </row>
    <row r="174">
      <c r="B174" s="131"/>
      <c r="D174" s="167"/>
    </row>
    <row r="175">
      <c r="B175" s="131"/>
      <c r="D175" s="167"/>
    </row>
    <row r="176">
      <c r="B176" s="131"/>
      <c r="D176" s="167"/>
    </row>
    <row r="177">
      <c r="B177" s="131"/>
      <c r="D177" s="167"/>
    </row>
    <row r="178">
      <c r="B178" s="131"/>
      <c r="D178" s="167"/>
    </row>
    <row r="179">
      <c r="B179" s="131"/>
      <c r="D179" s="167"/>
    </row>
    <row r="180">
      <c r="B180" s="131"/>
      <c r="D180" s="167"/>
    </row>
    <row r="181">
      <c r="B181" s="131"/>
      <c r="D181" s="167"/>
    </row>
    <row r="182">
      <c r="B182" s="131"/>
      <c r="D182" s="167"/>
    </row>
    <row r="183">
      <c r="B183" s="131"/>
      <c r="D183" s="167"/>
    </row>
    <row r="184">
      <c r="B184" s="131"/>
      <c r="D184" s="167"/>
    </row>
    <row r="185">
      <c r="B185" s="131"/>
      <c r="D185" s="167"/>
    </row>
    <row r="186">
      <c r="B186" s="131"/>
      <c r="D186" s="167"/>
    </row>
    <row r="187">
      <c r="B187" s="131"/>
      <c r="D187" s="167"/>
    </row>
    <row r="188">
      <c r="B188" s="131"/>
      <c r="D188" s="167"/>
    </row>
    <row r="189">
      <c r="B189" s="131"/>
      <c r="D189" s="167"/>
    </row>
    <row r="190">
      <c r="B190" s="131"/>
      <c r="D190" s="167"/>
    </row>
    <row r="191">
      <c r="B191" s="131"/>
      <c r="D191" s="167"/>
    </row>
    <row r="192">
      <c r="B192" s="131"/>
      <c r="D192" s="167"/>
    </row>
    <row r="193">
      <c r="B193" s="131"/>
      <c r="D193" s="167"/>
    </row>
    <row r="194">
      <c r="B194" s="131"/>
      <c r="D194" s="167"/>
    </row>
    <row r="195">
      <c r="B195" s="131"/>
      <c r="D195" s="167"/>
    </row>
    <row r="196">
      <c r="B196" s="131"/>
      <c r="D196" s="167"/>
    </row>
    <row r="197">
      <c r="B197" s="131"/>
      <c r="D197" s="167"/>
    </row>
    <row r="198">
      <c r="B198" s="131"/>
      <c r="D198" s="167"/>
    </row>
    <row r="199">
      <c r="B199" s="131"/>
      <c r="D199" s="167"/>
    </row>
    <row r="200">
      <c r="B200" s="131"/>
      <c r="D200" s="167"/>
    </row>
    <row r="201">
      <c r="B201" s="131"/>
      <c r="D201" s="167"/>
    </row>
    <row r="202">
      <c r="B202" s="131"/>
      <c r="D202" s="167"/>
    </row>
    <row r="203">
      <c r="B203" s="131"/>
      <c r="D203" s="167"/>
    </row>
    <row r="204">
      <c r="B204" s="131"/>
      <c r="D204" s="167"/>
    </row>
    <row r="205">
      <c r="B205" s="131"/>
      <c r="D205" s="167"/>
    </row>
    <row r="206">
      <c r="B206" s="131"/>
      <c r="D206" s="167"/>
    </row>
    <row r="207">
      <c r="B207" s="131"/>
      <c r="D207" s="167"/>
    </row>
    <row r="208">
      <c r="B208" s="131"/>
      <c r="D208" s="167"/>
    </row>
    <row r="209">
      <c r="B209" s="131"/>
      <c r="D209" s="167"/>
    </row>
    <row r="210">
      <c r="B210" s="131"/>
      <c r="D210" s="167"/>
    </row>
    <row r="211">
      <c r="B211" s="131"/>
      <c r="D211" s="167"/>
    </row>
    <row r="212">
      <c r="B212" s="131"/>
      <c r="D212" s="167"/>
    </row>
    <row r="213">
      <c r="B213" s="131"/>
      <c r="D213" s="167"/>
    </row>
    <row r="214">
      <c r="B214" s="131"/>
      <c r="D214" s="167"/>
    </row>
    <row r="215">
      <c r="B215" s="131"/>
      <c r="D215" s="167"/>
    </row>
    <row r="216">
      <c r="B216" s="131"/>
      <c r="D216" s="167"/>
    </row>
    <row r="217">
      <c r="B217" s="131"/>
      <c r="D217" s="167"/>
    </row>
    <row r="218">
      <c r="B218" s="131"/>
      <c r="D218" s="167"/>
    </row>
    <row r="219">
      <c r="B219" s="131"/>
      <c r="D219" s="167"/>
    </row>
    <row r="220">
      <c r="B220" s="131"/>
      <c r="D220" s="167"/>
    </row>
    <row r="221">
      <c r="B221" s="131"/>
      <c r="D221" s="167"/>
    </row>
    <row r="222">
      <c r="B222" s="131"/>
      <c r="D222" s="167"/>
    </row>
    <row r="223">
      <c r="B223" s="131"/>
      <c r="D223" s="167"/>
    </row>
    <row r="224">
      <c r="B224" s="131"/>
      <c r="D224" s="167"/>
    </row>
    <row r="225">
      <c r="B225" s="131"/>
      <c r="D225" s="167"/>
    </row>
    <row r="226">
      <c r="B226" s="131"/>
      <c r="D226" s="167"/>
    </row>
    <row r="227">
      <c r="B227" s="131"/>
      <c r="D227" s="167"/>
    </row>
    <row r="228">
      <c r="B228" s="131"/>
      <c r="D228" s="167"/>
    </row>
    <row r="229">
      <c r="B229" s="131"/>
      <c r="D229" s="167"/>
    </row>
    <row r="230">
      <c r="B230" s="131"/>
      <c r="D230" s="167"/>
    </row>
    <row r="231">
      <c r="B231" s="131"/>
      <c r="D231" s="167"/>
    </row>
    <row r="232">
      <c r="B232" s="131"/>
      <c r="D232" s="167"/>
    </row>
    <row r="233">
      <c r="B233" s="131"/>
      <c r="D233" s="167"/>
    </row>
    <row r="234">
      <c r="B234" s="131"/>
      <c r="D234" s="167"/>
    </row>
    <row r="235">
      <c r="B235" s="131"/>
      <c r="D235" s="167"/>
    </row>
    <row r="236">
      <c r="B236" s="131"/>
      <c r="D236" s="167"/>
    </row>
    <row r="237">
      <c r="B237" s="131"/>
      <c r="D237" s="167"/>
    </row>
    <row r="238">
      <c r="B238" s="131"/>
      <c r="D238" s="167"/>
    </row>
    <row r="239">
      <c r="B239" s="131"/>
      <c r="D239" s="167"/>
    </row>
    <row r="240">
      <c r="B240" s="131"/>
      <c r="D240" s="167"/>
    </row>
    <row r="241">
      <c r="B241" s="131"/>
      <c r="D241" s="167"/>
    </row>
    <row r="242">
      <c r="B242" s="131"/>
      <c r="D242" s="167"/>
    </row>
    <row r="243">
      <c r="B243" s="131"/>
      <c r="D243" s="167"/>
    </row>
    <row r="244">
      <c r="B244" s="131"/>
      <c r="D244" s="167"/>
    </row>
    <row r="245">
      <c r="B245" s="131"/>
      <c r="D245" s="167"/>
    </row>
    <row r="246">
      <c r="B246" s="131"/>
      <c r="D246" s="167"/>
    </row>
    <row r="247">
      <c r="B247" s="131"/>
      <c r="D247" s="167"/>
    </row>
    <row r="248">
      <c r="B248" s="131"/>
      <c r="D248" s="167"/>
    </row>
    <row r="249">
      <c r="B249" s="131"/>
      <c r="D249" s="167"/>
    </row>
    <row r="250">
      <c r="B250" s="131"/>
      <c r="D250" s="167"/>
    </row>
    <row r="251">
      <c r="B251" s="131"/>
      <c r="D251" s="167"/>
    </row>
    <row r="252">
      <c r="B252" s="131"/>
      <c r="D252" s="167"/>
    </row>
    <row r="253">
      <c r="B253" s="131"/>
      <c r="D253" s="167"/>
    </row>
    <row r="254">
      <c r="B254" s="131"/>
      <c r="D254" s="167"/>
    </row>
    <row r="255">
      <c r="B255" s="131"/>
      <c r="D255" s="167"/>
    </row>
    <row r="256">
      <c r="B256" s="131"/>
      <c r="D256" s="167"/>
    </row>
    <row r="257">
      <c r="B257" s="131"/>
      <c r="D257" s="167"/>
    </row>
    <row r="258">
      <c r="B258" s="131"/>
      <c r="D258" s="167"/>
    </row>
    <row r="259">
      <c r="B259" s="131"/>
      <c r="D259" s="167"/>
    </row>
    <row r="260">
      <c r="B260" s="131"/>
      <c r="D260" s="167"/>
    </row>
    <row r="261">
      <c r="B261" s="131"/>
      <c r="D261" s="167"/>
    </row>
    <row r="262">
      <c r="B262" s="131"/>
      <c r="D262" s="167"/>
    </row>
    <row r="263">
      <c r="B263" s="131"/>
      <c r="D263" s="167"/>
    </row>
    <row r="264">
      <c r="B264" s="131"/>
      <c r="D264" s="167"/>
    </row>
    <row r="265">
      <c r="B265" s="131"/>
      <c r="D265" s="167"/>
    </row>
    <row r="266">
      <c r="B266" s="131"/>
      <c r="D266" s="167"/>
    </row>
    <row r="267">
      <c r="B267" s="131"/>
      <c r="D267" s="167"/>
    </row>
    <row r="268">
      <c r="B268" s="131"/>
      <c r="D268" s="167"/>
    </row>
    <row r="269">
      <c r="B269" s="131"/>
      <c r="D269" s="167"/>
    </row>
    <row r="270">
      <c r="B270" s="131"/>
      <c r="D270" s="167"/>
    </row>
    <row r="271">
      <c r="B271" s="131"/>
      <c r="D271" s="167"/>
    </row>
    <row r="272">
      <c r="B272" s="131"/>
      <c r="D272" s="167"/>
    </row>
    <row r="273">
      <c r="B273" s="131"/>
      <c r="D273" s="167"/>
    </row>
    <row r="274">
      <c r="B274" s="131"/>
      <c r="D274" s="167"/>
    </row>
    <row r="275">
      <c r="B275" s="131"/>
      <c r="D275" s="167"/>
    </row>
    <row r="276">
      <c r="B276" s="131"/>
      <c r="D276" s="167"/>
    </row>
    <row r="277">
      <c r="B277" s="131"/>
      <c r="D277" s="167"/>
    </row>
    <row r="278">
      <c r="B278" s="131"/>
      <c r="D278" s="167"/>
    </row>
    <row r="279">
      <c r="B279" s="131"/>
      <c r="D279" s="167"/>
    </row>
    <row r="280">
      <c r="B280" s="131"/>
      <c r="D280" s="167"/>
    </row>
    <row r="281">
      <c r="B281" s="131"/>
      <c r="D281" s="167"/>
    </row>
    <row r="282">
      <c r="B282" s="131"/>
      <c r="D282" s="167"/>
    </row>
    <row r="283">
      <c r="B283" s="131"/>
      <c r="D283" s="167"/>
    </row>
    <row r="284">
      <c r="B284" s="131"/>
      <c r="D284" s="167"/>
    </row>
    <row r="285">
      <c r="B285" s="131"/>
      <c r="D285" s="167"/>
    </row>
    <row r="286">
      <c r="B286" s="131"/>
      <c r="D286" s="167"/>
    </row>
    <row r="287">
      <c r="B287" s="131"/>
      <c r="D287" s="167"/>
    </row>
    <row r="288">
      <c r="B288" s="131"/>
      <c r="D288" s="167"/>
    </row>
    <row r="289">
      <c r="B289" s="131"/>
      <c r="D289" s="167"/>
    </row>
    <row r="290">
      <c r="B290" s="131"/>
      <c r="D290" s="167"/>
    </row>
    <row r="291">
      <c r="B291" s="131"/>
      <c r="D291" s="167"/>
    </row>
    <row r="292">
      <c r="B292" s="131"/>
      <c r="D292" s="167"/>
    </row>
    <row r="293">
      <c r="B293" s="131"/>
      <c r="D293" s="167"/>
    </row>
    <row r="294">
      <c r="B294" s="131"/>
      <c r="D294" s="167"/>
    </row>
    <row r="295">
      <c r="B295" s="131"/>
      <c r="D295" s="167"/>
    </row>
    <row r="296">
      <c r="B296" s="131"/>
      <c r="D296" s="167"/>
    </row>
    <row r="297">
      <c r="B297" s="131"/>
      <c r="D297" s="167"/>
    </row>
    <row r="298">
      <c r="B298" s="131"/>
      <c r="D298" s="167"/>
    </row>
    <row r="299">
      <c r="B299" s="131"/>
      <c r="D299" s="167"/>
    </row>
    <row r="300">
      <c r="B300" s="131"/>
      <c r="D300" s="167"/>
    </row>
    <row r="301">
      <c r="B301" s="131"/>
      <c r="D301" s="167"/>
    </row>
    <row r="302">
      <c r="B302" s="131"/>
      <c r="D302" s="167"/>
    </row>
    <row r="303">
      <c r="B303" s="131"/>
      <c r="D303" s="167"/>
    </row>
    <row r="304">
      <c r="B304" s="131"/>
      <c r="D304" s="167"/>
    </row>
    <row r="305">
      <c r="B305" s="131"/>
      <c r="D305" s="167"/>
    </row>
    <row r="306">
      <c r="B306" s="131"/>
      <c r="D306" s="167"/>
    </row>
    <row r="307">
      <c r="B307" s="131"/>
      <c r="D307" s="167"/>
    </row>
    <row r="308">
      <c r="B308" s="131"/>
      <c r="D308" s="167"/>
    </row>
    <row r="309">
      <c r="B309" s="131"/>
      <c r="D309" s="167"/>
    </row>
    <row r="310">
      <c r="B310" s="131"/>
      <c r="D310" s="167"/>
    </row>
    <row r="311">
      <c r="B311" s="131"/>
      <c r="D311" s="167"/>
    </row>
    <row r="312">
      <c r="B312" s="131"/>
      <c r="D312" s="167"/>
    </row>
    <row r="313">
      <c r="B313" s="131"/>
      <c r="D313" s="167"/>
    </row>
    <row r="314">
      <c r="B314" s="131"/>
      <c r="D314" s="167"/>
    </row>
    <row r="315">
      <c r="B315" s="131"/>
      <c r="D315" s="167"/>
    </row>
    <row r="316">
      <c r="B316" s="131"/>
      <c r="D316" s="167"/>
    </row>
    <row r="317">
      <c r="B317" s="131"/>
      <c r="D317" s="167"/>
    </row>
    <row r="318">
      <c r="B318" s="131"/>
      <c r="D318" s="167"/>
    </row>
    <row r="319">
      <c r="B319" s="131"/>
      <c r="D319" s="167"/>
    </row>
    <row r="320">
      <c r="B320" s="131"/>
      <c r="D320" s="167"/>
    </row>
    <row r="321">
      <c r="B321" s="131"/>
      <c r="D321" s="167"/>
    </row>
    <row r="322">
      <c r="B322" s="131"/>
      <c r="D322" s="167"/>
    </row>
    <row r="323">
      <c r="B323" s="131"/>
      <c r="D323" s="167"/>
    </row>
    <row r="324">
      <c r="B324" s="131"/>
      <c r="D324" s="167"/>
    </row>
    <row r="325">
      <c r="B325" s="131"/>
      <c r="D325" s="167"/>
    </row>
    <row r="326">
      <c r="B326" s="131"/>
      <c r="D326" s="167"/>
    </row>
    <row r="327">
      <c r="B327" s="131"/>
      <c r="D327" s="167"/>
    </row>
    <row r="328">
      <c r="B328" s="131"/>
      <c r="D328" s="167"/>
    </row>
    <row r="329">
      <c r="B329" s="131"/>
      <c r="D329" s="167"/>
    </row>
    <row r="330">
      <c r="B330" s="131"/>
      <c r="D330" s="167"/>
    </row>
    <row r="331">
      <c r="B331" s="131"/>
      <c r="D331" s="167"/>
    </row>
    <row r="332">
      <c r="B332" s="131"/>
      <c r="D332" s="167"/>
    </row>
    <row r="333">
      <c r="B333" s="131"/>
      <c r="D333" s="167"/>
    </row>
    <row r="334">
      <c r="B334" s="131"/>
      <c r="D334" s="167"/>
    </row>
    <row r="335">
      <c r="B335" s="131"/>
      <c r="D335" s="167"/>
    </row>
    <row r="336">
      <c r="B336" s="131"/>
      <c r="D336" s="167"/>
    </row>
    <row r="337">
      <c r="B337" s="131"/>
      <c r="D337" s="167"/>
    </row>
    <row r="338">
      <c r="B338" s="131"/>
      <c r="D338" s="167"/>
    </row>
    <row r="339">
      <c r="B339" s="131"/>
      <c r="D339" s="167"/>
    </row>
    <row r="340">
      <c r="B340" s="131"/>
      <c r="D340" s="167"/>
    </row>
    <row r="341">
      <c r="B341" s="131"/>
      <c r="D341" s="167"/>
    </row>
    <row r="342">
      <c r="B342" s="131"/>
      <c r="D342" s="167"/>
    </row>
    <row r="343">
      <c r="B343" s="131"/>
      <c r="D343" s="167"/>
    </row>
    <row r="344">
      <c r="B344" s="131"/>
      <c r="D344" s="167"/>
    </row>
    <row r="345">
      <c r="B345" s="131"/>
      <c r="D345" s="167"/>
    </row>
    <row r="346">
      <c r="B346" s="131"/>
      <c r="D346" s="167"/>
    </row>
    <row r="347">
      <c r="B347" s="131"/>
      <c r="D347" s="167"/>
    </row>
    <row r="348">
      <c r="B348" s="131"/>
      <c r="D348" s="167"/>
    </row>
    <row r="349">
      <c r="B349" s="131"/>
      <c r="D349" s="167"/>
    </row>
    <row r="350">
      <c r="B350" s="131"/>
      <c r="D350" s="167"/>
    </row>
    <row r="351">
      <c r="B351" s="131"/>
      <c r="D351" s="167"/>
    </row>
    <row r="352">
      <c r="B352" s="131"/>
      <c r="D352" s="167"/>
    </row>
    <row r="353">
      <c r="B353" s="131"/>
      <c r="D353" s="167"/>
    </row>
    <row r="354">
      <c r="B354" s="131"/>
      <c r="D354" s="167"/>
    </row>
    <row r="355">
      <c r="B355" s="131"/>
      <c r="D355" s="167"/>
    </row>
    <row r="356">
      <c r="B356" s="131"/>
      <c r="D356" s="167"/>
    </row>
    <row r="357">
      <c r="B357" s="131"/>
      <c r="D357" s="167"/>
    </row>
    <row r="358">
      <c r="B358" s="131"/>
      <c r="D358" s="167"/>
    </row>
    <row r="359">
      <c r="B359" s="131"/>
      <c r="D359" s="167"/>
    </row>
    <row r="360">
      <c r="B360" s="131"/>
      <c r="D360" s="167"/>
    </row>
    <row r="361">
      <c r="B361" s="131"/>
      <c r="D361" s="167"/>
    </row>
    <row r="362">
      <c r="B362" s="131"/>
      <c r="D362" s="167"/>
    </row>
    <row r="363">
      <c r="B363" s="131"/>
      <c r="D363" s="167"/>
    </row>
    <row r="364">
      <c r="B364" s="131"/>
      <c r="D364" s="167"/>
    </row>
    <row r="365">
      <c r="B365" s="131"/>
      <c r="D365" s="167"/>
    </row>
    <row r="366">
      <c r="B366" s="131"/>
      <c r="D366" s="167"/>
    </row>
    <row r="367">
      <c r="B367" s="131"/>
      <c r="D367" s="167"/>
    </row>
    <row r="368">
      <c r="B368" s="131"/>
      <c r="D368" s="167"/>
    </row>
    <row r="369">
      <c r="B369" s="131"/>
      <c r="D369" s="167"/>
    </row>
    <row r="370">
      <c r="B370" s="131"/>
      <c r="D370" s="167"/>
    </row>
    <row r="371">
      <c r="B371" s="131"/>
      <c r="D371" s="167"/>
    </row>
    <row r="372">
      <c r="B372" s="131"/>
      <c r="D372" s="167"/>
    </row>
    <row r="373">
      <c r="B373" s="131"/>
      <c r="D373" s="167"/>
    </row>
    <row r="374">
      <c r="B374" s="131"/>
      <c r="D374" s="167"/>
    </row>
    <row r="375">
      <c r="B375" s="131"/>
      <c r="D375" s="167"/>
    </row>
    <row r="376">
      <c r="B376" s="131"/>
      <c r="D376" s="167"/>
    </row>
    <row r="377">
      <c r="B377" s="131"/>
      <c r="D377" s="167"/>
    </row>
    <row r="378">
      <c r="B378" s="131"/>
      <c r="D378" s="167"/>
    </row>
    <row r="379">
      <c r="B379" s="131"/>
      <c r="D379" s="167"/>
    </row>
    <row r="380">
      <c r="B380" s="131"/>
      <c r="D380" s="167"/>
    </row>
    <row r="381">
      <c r="B381" s="131"/>
      <c r="D381" s="167"/>
    </row>
    <row r="382">
      <c r="B382" s="131"/>
      <c r="D382" s="167"/>
    </row>
    <row r="383">
      <c r="B383" s="131"/>
      <c r="D383" s="167"/>
    </row>
    <row r="384">
      <c r="B384" s="131"/>
      <c r="D384" s="167"/>
    </row>
    <row r="385">
      <c r="B385" s="131"/>
      <c r="D385" s="167"/>
    </row>
    <row r="386">
      <c r="B386" s="131"/>
      <c r="D386" s="167"/>
    </row>
    <row r="387">
      <c r="B387" s="131"/>
      <c r="D387" s="167"/>
    </row>
    <row r="388">
      <c r="B388" s="131"/>
      <c r="D388" s="167"/>
    </row>
    <row r="389">
      <c r="B389" s="131"/>
      <c r="D389" s="167"/>
    </row>
    <row r="390">
      <c r="B390" s="131"/>
      <c r="D390" s="167"/>
    </row>
    <row r="391">
      <c r="B391" s="131"/>
      <c r="D391" s="167"/>
    </row>
    <row r="392">
      <c r="B392" s="131"/>
      <c r="D392" s="167"/>
    </row>
    <row r="393">
      <c r="B393" s="131"/>
      <c r="D393" s="167"/>
    </row>
    <row r="394">
      <c r="B394" s="131"/>
      <c r="D394" s="167"/>
    </row>
    <row r="395">
      <c r="B395" s="131"/>
      <c r="D395" s="167"/>
    </row>
    <row r="396">
      <c r="B396" s="131"/>
      <c r="D396" s="167"/>
    </row>
    <row r="397">
      <c r="B397" s="131"/>
      <c r="D397" s="167"/>
    </row>
    <row r="398">
      <c r="B398" s="131"/>
      <c r="D398" s="167"/>
    </row>
    <row r="399">
      <c r="B399" s="131"/>
      <c r="D399" s="167"/>
    </row>
    <row r="400">
      <c r="B400" s="131"/>
      <c r="D400" s="167"/>
    </row>
    <row r="401">
      <c r="B401" s="131"/>
      <c r="D401" s="167"/>
    </row>
    <row r="402">
      <c r="B402" s="131"/>
      <c r="D402" s="167"/>
    </row>
    <row r="403">
      <c r="B403" s="131"/>
      <c r="D403" s="167"/>
    </row>
    <row r="404">
      <c r="B404" s="131"/>
      <c r="D404" s="167"/>
    </row>
    <row r="405">
      <c r="B405" s="131"/>
      <c r="D405" s="167"/>
    </row>
    <row r="406">
      <c r="B406" s="131"/>
      <c r="D406" s="167"/>
    </row>
    <row r="407">
      <c r="B407" s="131"/>
      <c r="D407" s="167"/>
    </row>
    <row r="408">
      <c r="B408" s="131"/>
      <c r="D408" s="167"/>
    </row>
    <row r="409">
      <c r="B409" s="131"/>
      <c r="D409" s="167"/>
    </row>
    <row r="410">
      <c r="B410" s="131"/>
      <c r="D410" s="167"/>
    </row>
    <row r="411">
      <c r="B411" s="131"/>
      <c r="D411" s="167"/>
    </row>
    <row r="412">
      <c r="B412" s="131"/>
      <c r="D412" s="167"/>
    </row>
    <row r="413">
      <c r="B413" s="131"/>
      <c r="D413" s="167"/>
    </row>
    <row r="414">
      <c r="B414" s="131"/>
      <c r="D414" s="167"/>
    </row>
    <row r="415">
      <c r="B415" s="131"/>
      <c r="D415" s="167"/>
    </row>
    <row r="416">
      <c r="B416" s="131"/>
      <c r="D416" s="167"/>
    </row>
    <row r="417">
      <c r="B417" s="131"/>
      <c r="D417" s="167"/>
    </row>
    <row r="418">
      <c r="B418" s="131"/>
      <c r="D418" s="167"/>
    </row>
    <row r="419">
      <c r="B419" s="131"/>
      <c r="D419" s="167"/>
    </row>
    <row r="420">
      <c r="B420" s="131"/>
      <c r="D420" s="167"/>
    </row>
    <row r="421">
      <c r="B421" s="131"/>
      <c r="D421" s="167"/>
    </row>
    <row r="422">
      <c r="B422" s="131"/>
      <c r="D422" s="167"/>
    </row>
    <row r="423">
      <c r="B423" s="131"/>
      <c r="D423" s="167"/>
    </row>
    <row r="424">
      <c r="B424" s="131"/>
      <c r="D424" s="167"/>
    </row>
    <row r="425">
      <c r="B425" s="131"/>
      <c r="D425" s="167"/>
    </row>
    <row r="426">
      <c r="B426" s="131"/>
      <c r="D426" s="167"/>
    </row>
    <row r="427">
      <c r="B427" s="131"/>
      <c r="D427" s="167"/>
    </row>
    <row r="428">
      <c r="B428" s="131"/>
      <c r="D428" s="167"/>
    </row>
    <row r="429">
      <c r="B429" s="131"/>
      <c r="D429" s="167"/>
    </row>
    <row r="430">
      <c r="B430" s="131"/>
      <c r="D430" s="167"/>
    </row>
    <row r="431">
      <c r="B431" s="131"/>
      <c r="D431" s="167"/>
    </row>
    <row r="432">
      <c r="B432" s="131"/>
      <c r="D432" s="167"/>
    </row>
    <row r="433">
      <c r="B433" s="131"/>
      <c r="D433" s="167"/>
    </row>
    <row r="434">
      <c r="B434" s="131"/>
      <c r="D434" s="167"/>
    </row>
    <row r="435">
      <c r="B435" s="131"/>
      <c r="D435" s="167"/>
    </row>
    <row r="436">
      <c r="B436" s="131"/>
      <c r="D436" s="167"/>
    </row>
    <row r="437">
      <c r="B437" s="131"/>
      <c r="D437" s="167"/>
    </row>
    <row r="438">
      <c r="B438" s="131"/>
      <c r="D438" s="167"/>
    </row>
    <row r="439">
      <c r="B439" s="131"/>
      <c r="D439" s="167"/>
    </row>
    <row r="440">
      <c r="B440" s="131"/>
      <c r="D440" s="167"/>
    </row>
    <row r="441">
      <c r="B441" s="131"/>
      <c r="D441" s="167"/>
    </row>
    <row r="442">
      <c r="B442" s="131"/>
      <c r="D442" s="167"/>
    </row>
    <row r="443">
      <c r="B443" s="131"/>
      <c r="D443" s="167"/>
    </row>
    <row r="444">
      <c r="B444" s="131"/>
      <c r="D444" s="167"/>
    </row>
    <row r="445">
      <c r="B445" s="131"/>
      <c r="D445" s="167"/>
    </row>
    <row r="446">
      <c r="B446" s="131"/>
      <c r="D446" s="167"/>
    </row>
    <row r="447">
      <c r="B447" s="131"/>
      <c r="D447" s="167"/>
    </row>
    <row r="448">
      <c r="B448" s="131"/>
      <c r="D448" s="167"/>
    </row>
    <row r="449">
      <c r="B449" s="131"/>
      <c r="D449" s="167"/>
    </row>
    <row r="450">
      <c r="B450" s="131"/>
      <c r="D450" s="167"/>
    </row>
    <row r="451">
      <c r="B451" s="131"/>
      <c r="D451" s="167"/>
    </row>
    <row r="452">
      <c r="B452" s="131"/>
      <c r="D452" s="167"/>
    </row>
    <row r="453">
      <c r="B453" s="131"/>
      <c r="D453" s="167"/>
    </row>
    <row r="454">
      <c r="B454" s="131"/>
      <c r="D454" s="167"/>
    </row>
    <row r="455">
      <c r="B455" s="131"/>
      <c r="D455" s="167"/>
    </row>
    <row r="456">
      <c r="B456" s="131"/>
      <c r="D456" s="167"/>
    </row>
    <row r="457">
      <c r="B457" s="131"/>
      <c r="D457" s="167"/>
    </row>
    <row r="458">
      <c r="B458" s="131"/>
      <c r="D458" s="167"/>
    </row>
    <row r="459">
      <c r="B459" s="131"/>
      <c r="D459" s="167"/>
    </row>
    <row r="460">
      <c r="B460" s="131"/>
      <c r="D460" s="167"/>
    </row>
    <row r="461">
      <c r="B461" s="131"/>
      <c r="D461" s="167"/>
    </row>
    <row r="462">
      <c r="B462" s="131"/>
      <c r="D462" s="167"/>
    </row>
    <row r="463">
      <c r="B463" s="131"/>
      <c r="D463" s="167"/>
    </row>
    <row r="464">
      <c r="B464" s="131"/>
      <c r="D464" s="167"/>
    </row>
    <row r="465">
      <c r="B465" s="131"/>
      <c r="D465" s="167"/>
    </row>
    <row r="466">
      <c r="B466" s="131"/>
      <c r="D466" s="167"/>
    </row>
    <row r="467">
      <c r="B467" s="131"/>
      <c r="D467" s="167"/>
    </row>
    <row r="468">
      <c r="B468" s="131"/>
      <c r="D468" s="167"/>
    </row>
    <row r="469">
      <c r="B469" s="131"/>
      <c r="D469" s="167"/>
    </row>
    <row r="470">
      <c r="B470" s="131"/>
      <c r="D470" s="167"/>
    </row>
    <row r="471">
      <c r="B471" s="131"/>
      <c r="D471" s="167"/>
    </row>
    <row r="472">
      <c r="B472" s="131"/>
      <c r="D472" s="167"/>
    </row>
    <row r="473">
      <c r="B473" s="131"/>
      <c r="D473" s="167"/>
    </row>
    <row r="474">
      <c r="B474" s="131"/>
      <c r="D474" s="167"/>
    </row>
    <row r="475">
      <c r="B475" s="131"/>
      <c r="D475" s="167"/>
    </row>
    <row r="476">
      <c r="B476" s="131"/>
      <c r="D476" s="167"/>
    </row>
    <row r="477">
      <c r="B477" s="131"/>
      <c r="D477" s="167"/>
    </row>
    <row r="478">
      <c r="B478" s="131"/>
      <c r="D478" s="167"/>
    </row>
    <row r="479">
      <c r="B479" s="131"/>
      <c r="D479" s="167"/>
    </row>
    <row r="480">
      <c r="B480" s="131"/>
      <c r="D480" s="167"/>
    </row>
    <row r="481">
      <c r="B481" s="131"/>
      <c r="D481" s="167"/>
    </row>
    <row r="482">
      <c r="B482" s="131"/>
      <c r="D482" s="167"/>
    </row>
    <row r="483">
      <c r="B483" s="131"/>
      <c r="D483" s="167"/>
    </row>
    <row r="484">
      <c r="B484" s="131"/>
      <c r="D484" s="167"/>
    </row>
    <row r="485">
      <c r="B485" s="131"/>
      <c r="D485" s="167"/>
    </row>
    <row r="486">
      <c r="B486" s="131"/>
      <c r="D486" s="167"/>
    </row>
    <row r="487">
      <c r="B487" s="131"/>
      <c r="D487" s="167"/>
    </row>
    <row r="488">
      <c r="B488" s="131"/>
      <c r="D488" s="167"/>
    </row>
    <row r="489">
      <c r="B489" s="131"/>
      <c r="D489" s="167"/>
    </row>
    <row r="490">
      <c r="B490" s="131"/>
      <c r="D490" s="167"/>
    </row>
    <row r="491">
      <c r="B491" s="131"/>
      <c r="D491" s="167"/>
    </row>
    <row r="492">
      <c r="B492" s="131"/>
      <c r="D492" s="167"/>
    </row>
    <row r="493">
      <c r="B493" s="131"/>
      <c r="D493" s="167"/>
    </row>
    <row r="494">
      <c r="B494" s="131"/>
      <c r="D494" s="167"/>
    </row>
    <row r="495">
      <c r="B495" s="131"/>
      <c r="D495" s="167"/>
    </row>
    <row r="496">
      <c r="B496" s="131"/>
      <c r="D496" s="167"/>
    </row>
    <row r="497">
      <c r="B497" s="131"/>
      <c r="D497" s="167"/>
    </row>
    <row r="498">
      <c r="B498" s="131"/>
      <c r="D498" s="167"/>
    </row>
    <row r="499">
      <c r="B499" s="131"/>
      <c r="D499" s="167"/>
    </row>
    <row r="500">
      <c r="B500" s="131"/>
      <c r="D500" s="167"/>
    </row>
    <row r="501">
      <c r="B501" s="131"/>
      <c r="D501" s="167"/>
    </row>
    <row r="502">
      <c r="B502" s="131"/>
      <c r="D502" s="167"/>
    </row>
    <row r="503">
      <c r="B503" s="131"/>
      <c r="D503" s="167"/>
    </row>
    <row r="504">
      <c r="B504" s="131"/>
      <c r="D504" s="167"/>
    </row>
    <row r="505">
      <c r="B505" s="131"/>
      <c r="D505" s="167"/>
    </row>
    <row r="506">
      <c r="B506" s="131"/>
      <c r="D506" s="167"/>
    </row>
    <row r="507">
      <c r="B507" s="131"/>
      <c r="D507" s="167"/>
    </row>
    <row r="508">
      <c r="B508" s="131"/>
      <c r="D508" s="167"/>
    </row>
    <row r="509">
      <c r="B509" s="131"/>
      <c r="D509" s="167"/>
    </row>
    <row r="510">
      <c r="B510" s="131"/>
      <c r="D510" s="167"/>
    </row>
    <row r="511">
      <c r="B511" s="131"/>
      <c r="D511" s="167"/>
    </row>
    <row r="512">
      <c r="B512" s="131"/>
      <c r="D512" s="167"/>
    </row>
    <row r="513">
      <c r="B513" s="131"/>
      <c r="D513" s="167"/>
    </row>
    <row r="514">
      <c r="B514" s="131"/>
      <c r="D514" s="167"/>
    </row>
    <row r="515">
      <c r="B515" s="131"/>
      <c r="D515" s="167"/>
    </row>
    <row r="516">
      <c r="B516" s="131"/>
      <c r="D516" s="167"/>
    </row>
    <row r="517">
      <c r="B517" s="131"/>
      <c r="D517" s="167"/>
    </row>
    <row r="518">
      <c r="B518" s="131"/>
      <c r="D518" s="167"/>
    </row>
    <row r="519">
      <c r="B519" s="131"/>
      <c r="D519" s="167"/>
    </row>
    <row r="520">
      <c r="B520" s="131"/>
      <c r="D520" s="167"/>
    </row>
    <row r="521">
      <c r="B521" s="131"/>
      <c r="D521" s="167"/>
    </row>
    <row r="522">
      <c r="B522" s="131"/>
      <c r="D522" s="167"/>
    </row>
    <row r="523">
      <c r="B523" s="131"/>
      <c r="D523" s="167"/>
    </row>
    <row r="524">
      <c r="B524" s="131"/>
      <c r="D524" s="167"/>
    </row>
    <row r="525">
      <c r="B525" s="131"/>
      <c r="D525" s="167"/>
    </row>
    <row r="526">
      <c r="B526" s="131"/>
      <c r="D526" s="167"/>
    </row>
    <row r="527">
      <c r="B527" s="131"/>
      <c r="D527" s="167"/>
    </row>
    <row r="528">
      <c r="B528" s="131"/>
      <c r="D528" s="167"/>
    </row>
    <row r="529">
      <c r="B529" s="131"/>
      <c r="D529" s="167"/>
    </row>
    <row r="530">
      <c r="B530" s="131"/>
      <c r="D530" s="167"/>
    </row>
    <row r="531">
      <c r="B531" s="131"/>
      <c r="D531" s="167"/>
    </row>
    <row r="532">
      <c r="B532" s="131"/>
      <c r="D532" s="167"/>
    </row>
    <row r="533">
      <c r="B533" s="131"/>
      <c r="D533" s="167"/>
    </row>
    <row r="534">
      <c r="B534" s="131"/>
      <c r="D534" s="167"/>
    </row>
    <row r="535">
      <c r="B535" s="131"/>
      <c r="D535" s="167"/>
    </row>
    <row r="536">
      <c r="B536" s="131"/>
      <c r="D536" s="167"/>
    </row>
    <row r="537">
      <c r="B537" s="131"/>
      <c r="D537" s="167"/>
    </row>
    <row r="538">
      <c r="B538" s="131"/>
      <c r="D538" s="167"/>
    </row>
    <row r="539">
      <c r="B539" s="131"/>
      <c r="D539" s="167"/>
    </row>
    <row r="540">
      <c r="B540" s="131"/>
      <c r="D540" s="167"/>
    </row>
    <row r="541">
      <c r="B541" s="131"/>
      <c r="D541" s="167"/>
    </row>
    <row r="542">
      <c r="B542" s="131"/>
      <c r="D542" s="167"/>
    </row>
    <row r="543">
      <c r="B543" s="131"/>
      <c r="D543" s="167"/>
    </row>
    <row r="544">
      <c r="B544" s="131"/>
      <c r="D544" s="167"/>
    </row>
    <row r="545">
      <c r="B545" s="131"/>
      <c r="D545" s="167"/>
    </row>
    <row r="546">
      <c r="B546" s="131"/>
      <c r="D546" s="167"/>
    </row>
    <row r="547">
      <c r="B547" s="131"/>
      <c r="D547" s="167"/>
    </row>
    <row r="548">
      <c r="B548" s="131"/>
      <c r="D548" s="167"/>
    </row>
    <row r="549">
      <c r="B549" s="131"/>
      <c r="D549" s="167"/>
    </row>
    <row r="550">
      <c r="B550" s="131"/>
      <c r="D550" s="167"/>
    </row>
    <row r="551">
      <c r="B551" s="131"/>
      <c r="D551" s="167"/>
    </row>
    <row r="552">
      <c r="B552" s="131"/>
      <c r="D552" s="167"/>
    </row>
    <row r="553">
      <c r="B553" s="131"/>
      <c r="D553" s="167"/>
    </row>
    <row r="554">
      <c r="B554" s="131"/>
      <c r="D554" s="167"/>
    </row>
    <row r="555">
      <c r="B555" s="131"/>
      <c r="D555" s="167"/>
    </row>
    <row r="556">
      <c r="B556" s="131"/>
      <c r="D556" s="167"/>
    </row>
    <row r="557">
      <c r="B557" s="131"/>
      <c r="D557" s="167"/>
    </row>
    <row r="558">
      <c r="B558" s="131"/>
      <c r="D558" s="167"/>
    </row>
    <row r="559">
      <c r="B559" s="131"/>
      <c r="D559" s="167"/>
    </row>
    <row r="560">
      <c r="B560" s="131"/>
      <c r="D560" s="167"/>
    </row>
    <row r="561">
      <c r="B561" s="131"/>
      <c r="D561" s="167"/>
    </row>
    <row r="562">
      <c r="B562" s="131"/>
      <c r="D562" s="167"/>
    </row>
    <row r="563">
      <c r="B563" s="131"/>
      <c r="D563" s="167"/>
    </row>
    <row r="564">
      <c r="B564" s="131"/>
      <c r="D564" s="167"/>
    </row>
    <row r="565">
      <c r="B565" s="131"/>
      <c r="D565" s="167"/>
    </row>
    <row r="566">
      <c r="B566" s="131"/>
      <c r="D566" s="167"/>
    </row>
    <row r="567">
      <c r="B567" s="131"/>
      <c r="D567" s="167"/>
    </row>
    <row r="568">
      <c r="B568" s="131"/>
      <c r="D568" s="167"/>
    </row>
    <row r="569">
      <c r="B569" s="131"/>
      <c r="D569" s="167"/>
    </row>
    <row r="570">
      <c r="B570" s="131"/>
      <c r="D570" s="167"/>
    </row>
    <row r="571">
      <c r="B571" s="131"/>
      <c r="D571" s="167"/>
    </row>
    <row r="572">
      <c r="B572" s="131"/>
      <c r="D572" s="167"/>
    </row>
    <row r="573">
      <c r="B573" s="131"/>
      <c r="D573" s="167"/>
    </row>
    <row r="574">
      <c r="B574" s="131"/>
      <c r="D574" s="167"/>
    </row>
    <row r="575">
      <c r="B575" s="131"/>
      <c r="D575" s="167"/>
    </row>
    <row r="576">
      <c r="B576" s="131"/>
      <c r="D576" s="167"/>
    </row>
    <row r="577">
      <c r="B577" s="131"/>
      <c r="D577" s="167"/>
    </row>
    <row r="578">
      <c r="B578" s="131"/>
      <c r="D578" s="167"/>
    </row>
    <row r="579">
      <c r="B579" s="131"/>
      <c r="D579" s="167"/>
    </row>
    <row r="580">
      <c r="B580" s="131"/>
      <c r="D580" s="167"/>
    </row>
    <row r="581">
      <c r="B581" s="131"/>
      <c r="D581" s="167"/>
    </row>
    <row r="582">
      <c r="B582" s="131"/>
      <c r="D582" s="167"/>
    </row>
    <row r="583">
      <c r="B583" s="131"/>
      <c r="D583" s="167"/>
    </row>
    <row r="584">
      <c r="B584" s="131"/>
      <c r="D584" s="167"/>
    </row>
    <row r="585">
      <c r="B585" s="131"/>
      <c r="D585" s="167"/>
    </row>
    <row r="586">
      <c r="B586" s="131"/>
      <c r="D586" s="167"/>
    </row>
    <row r="587">
      <c r="B587" s="131"/>
      <c r="D587" s="167"/>
    </row>
    <row r="588">
      <c r="B588" s="131"/>
      <c r="D588" s="167"/>
    </row>
    <row r="589">
      <c r="B589" s="131"/>
      <c r="D589" s="167"/>
    </row>
    <row r="590">
      <c r="B590" s="131"/>
      <c r="D590" s="167"/>
    </row>
    <row r="591">
      <c r="B591" s="131"/>
      <c r="D591" s="167"/>
    </row>
    <row r="592">
      <c r="B592" s="131"/>
      <c r="D592" s="167"/>
    </row>
    <row r="593">
      <c r="B593" s="131"/>
      <c r="D593" s="167"/>
    </row>
    <row r="594">
      <c r="B594" s="131"/>
      <c r="D594" s="167"/>
    </row>
    <row r="595">
      <c r="B595" s="131"/>
      <c r="D595" s="167"/>
    </row>
    <row r="596">
      <c r="B596" s="131"/>
      <c r="D596" s="167"/>
    </row>
    <row r="597">
      <c r="B597" s="131"/>
      <c r="D597" s="167"/>
    </row>
    <row r="598">
      <c r="B598" s="131"/>
      <c r="D598" s="167"/>
    </row>
    <row r="599">
      <c r="B599" s="131"/>
      <c r="D599" s="167"/>
    </row>
    <row r="600">
      <c r="B600" s="131"/>
      <c r="D600" s="167"/>
    </row>
    <row r="601">
      <c r="B601" s="131"/>
      <c r="D601" s="167"/>
    </row>
    <row r="602">
      <c r="B602" s="131"/>
      <c r="D602" s="167"/>
    </row>
    <row r="603">
      <c r="B603" s="131"/>
      <c r="D603" s="167"/>
    </row>
    <row r="604">
      <c r="B604" s="131"/>
      <c r="D604" s="167"/>
    </row>
    <row r="605">
      <c r="B605" s="131"/>
      <c r="D605" s="167"/>
    </row>
    <row r="606">
      <c r="B606" s="131"/>
      <c r="D606" s="167"/>
    </row>
    <row r="607">
      <c r="B607" s="131"/>
      <c r="D607" s="167"/>
    </row>
    <row r="608">
      <c r="B608" s="131"/>
      <c r="D608" s="167"/>
    </row>
    <row r="609">
      <c r="B609" s="131"/>
      <c r="D609" s="167"/>
    </row>
    <row r="610">
      <c r="B610" s="131"/>
      <c r="D610" s="167"/>
    </row>
    <row r="611">
      <c r="B611" s="131"/>
      <c r="D611" s="167"/>
    </row>
    <row r="612">
      <c r="B612" s="131"/>
      <c r="D612" s="167"/>
    </row>
    <row r="613">
      <c r="B613" s="131"/>
      <c r="D613" s="167"/>
    </row>
    <row r="614">
      <c r="B614" s="131"/>
      <c r="D614" s="167"/>
    </row>
    <row r="615">
      <c r="B615" s="131"/>
      <c r="D615" s="167"/>
    </row>
    <row r="616">
      <c r="B616" s="131"/>
      <c r="D616" s="167"/>
    </row>
    <row r="617">
      <c r="B617" s="131"/>
      <c r="D617" s="167"/>
    </row>
    <row r="618">
      <c r="B618" s="131"/>
      <c r="D618" s="167"/>
    </row>
    <row r="619">
      <c r="B619" s="131"/>
      <c r="D619" s="167"/>
    </row>
    <row r="620">
      <c r="B620" s="131"/>
      <c r="D620" s="167"/>
    </row>
    <row r="621">
      <c r="B621" s="131"/>
      <c r="D621" s="167"/>
    </row>
    <row r="622">
      <c r="B622" s="131"/>
      <c r="D622" s="167"/>
    </row>
    <row r="623">
      <c r="B623" s="131"/>
      <c r="D623" s="167"/>
    </row>
    <row r="624">
      <c r="B624" s="131"/>
      <c r="D624" s="167"/>
    </row>
    <row r="625">
      <c r="B625" s="131"/>
      <c r="D625" s="167"/>
    </row>
    <row r="626">
      <c r="B626" s="131"/>
      <c r="D626" s="167"/>
    </row>
    <row r="627">
      <c r="B627" s="131"/>
      <c r="D627" s="167"/>
    </row>
    <row r="628">
      <c r="B628" s="131"/>
      <c r="D628" s="167"/>
    </row>
    <row r="629">
      <c r="B629" s="131"/>
      <c r="D629" s="167"/>
    </row>
    <row r="630">
      <c r="B630" s="131"/>
      <c r="D630" s="167"/>
    </row>
    <row r="631">
      <c r="B631" s="131"/>
      <c r="D631" s="167"/>
    </row>
    <row r="632">
      <c r="B632" s="131"/>
      <c r="D632" s="167"/>
    </row>
    <row r="633">
      <c r="B633" s="131"/>
      <c r="D633" s="167"/>
    </row>
    <row r="634">
      <c r="B634" s="131"/>
      <c r="D634" s="167"/>
    </row>
    <row r="635">
      <c r="B635" s="131"/>
      <c r="D635" s="167"/>
    </row>
    <row r="636">
      <c r="B636" s="131"/>
      <c r="D636" s="167"/>
    </row>
    <row r="637">
      <c r="B637" s="131"/>
      <c r="D637" s="167"/>
    </row>
    <row r="638">
      <c r="B638" s="131"/>
      <c r="D638" s="167"/>
    </row>
    <row r="639">
      <c r="B639" s="131"/>
      <c r="D639" s="167"/>
    </row>
    <row r="640">
      <c r="B640" s="131"/>
      <c r="D640" s="167"/>
    </row>
    <row r="641">
      <c r="B641" s="131"/>
      <c r="D641" s="167"/>
    </row>
    <row r="642">
      <c r="B642" s="131"/>
      <c r="D642" s="167"/>
    </row>
    <row r="643">
      <c r="B643" s="131"/>
      <c r="D643" s="167"/>
    </row>
    <row r="644">
      <c r="B644" s="131"/>
      <c r="D644" s="167"/>
    </row>
    <row r="645">
      <c r="B645" s="131"/>
      <c r="D645" s="167"/>
    </row>
    <row r="646">
      <c r="B646" s="131"/>
      <c r="D646" s="167"/>
    </row>
    <row r="647">
      <c r="B647" s="131"/>
      <c r="D647" s="167"/>
    </row>
    <row r="648">
      <c r="B648" s="131"/>
      <c r="D648" s="167"/>
    </row>
    <row r="649">
      <c r="B649" s="131"/>
      <c r="D649" s="167"/>
    </row>
    <row r="650">
      <c r="B650" s="131"/>
      <c r="D650" s="167"/>
    </row>
    <row r="651">
      <c r="B651" s="131"/>
      <c r="D651" s="167"/>
    </row>
    <row r="652">
      <c r="B652" s="131"/>
      <c r="D652" s="167"/>
    </row>
    <row r="653">
      <c r="B653" s="131"/>
      <c r="D653" s="167"/>
    </row>
    <row r="654">
      <c r="B654" s="131"/>
      <c r="D654" s="167"/>
    </row>
    <row r="655">
      <c r="B655" s="131"/>
      <c r="D655" s="167"/>
    </row>
    <row r="656">
      <c r="B656" s="131"/>
      <c r="D656" s="167"/>
    </row>
    <row r="657">
      <c r="B657" s="131"/>
      <c r="D657" s="167"/>
    </row>
    <row r="658">
      <c r="B658" s="131"/>
      <c r="D658" s="167"/>
    </row>
    <row r="659">
      <c r="B659" s="131"/>
      <c r="D659" s="167"/>
    </row>
    <row r="660">
      <c r="B660" s="131"/>
      <c r="D660" s="167"/>
    </row>
    <row r="661">
      <c r="B661" s="131"/>
      <c r="D661" s="167"/>
    </row>
    <row r="662">
      <c r="B662" s="131"/>
      <c r="D662" s="167"/>
    </row>
    <row r="663">
      <c r="B663" s="131"/>
      <c r="D663" s="167"/>
    </row>
    <row r="664">
      <c r="B664" s="131"/>
      <c r="D664" s="167"/>
    </row>
    <row r="665">
      <c r="B665" s="131"/>
      <c r="D665" s="167"/>
    </row>
    <row r="666">
      <c r="B666" s="131"/>
      <c r="D666" s="167"/>
    </row>
    <row r="667">
      <c r="B667" s="131"/>
      <c r="D667" s="167"/>
    </row>
    <row r="668">
      <c r="B668" s="131"/>
      <c r="D668" s="167"/>
    </row>
    <row r="669">
      <c r="B669" s="131"/>
      <c r="D669" s="167"/>
    </row>
    <row r="670">
      <c r="B670" s="131"/>
      <c r="D670" s="167"/>
    </row>
    <row r="671">
      <c r="B671" s="131"/>
      <c r="D671" s="167"/>
    </row>
    <row r="672">
      <c r="B672" s="131"/>
      <c r="D672" s="167"/>
    </row>
    <row r="673">
      <c r="B673" s="131"/>
      <c r="D673" s="167"/>
    </row>
    <row r="674">
      <c r="B674" s="131"/>
      <c r="D674" s="167"/>
    </row>
    <row r="675">
      <c r="B675" s="131"/>
      <c r="D675" s="167"/>
    </row>
    <row r="676">
      <c r="B676" s="131"/>
      <c r="D676" s="167"/>
    </row>
    <row r="677">
      <c r="B677" s="131"/>
      <c r="D677" s="167"/>
    </row>
    <row r="678">
      <c r="B678" s="131"/>
      <c r="D678" s="167"/>
    </row>
    <row r="679">
      <c r="B679" s="131"/>
      <c r="D679" s="167"/>
    </row>
    <row r="680">
      <c r="B680" s="131"/>
      <c r="D680" s="167"/>
    </row>
    <row r="681">
      <c r="B681" s="131"/>
      <c r="D681" s="167"/>
    </row>
    <row r="682">
      <c r="B682" s="131"/>
      <c r="D682" s="167"/>
    </row>
    <row r="683">
      <c r="B683" s="131"/>
      <c r="D683" s="167"/>
    </row>
    <row r="684">
      <c r="B684" s="131"/>
      <c r="D684" s="167"/>
    </row>
    <row r="685">
      <c r="B685" s="131"/>
      <c r="D685" s="167"/>
    </row>
    <row r="686">
      <c r="B686" s="131"/>
      <c r="D686" s="167"/>
    </row>
    <row r="687">
      <c r="B687" s="131"/>
      <c r="D687" s="167"/>
    </row>
    <row r="688">
      <c r="B688" s="131"/>
      <c r="D688" s="167"/>
    </row>
    <row r="689">
      <c r="B689" s="131"/>
      <c r="D689" s="167"/>
    </row>
    <row r="690">
      <c r="B690" s="131"/>
      <c r="D690" s="167"/>
    </row>
    <row r="691">
      <c r="B691" s="131"/>
      <c r="D691" s="167"/>
    </row>
    <row r="692">
      <c r="B692" s="131"/>
      <c r="D692" s="167"/>
    </row>
    <row r="693">
      <c r="B693" s="131"/>
      <c r="D693" s="167"/>
    </row>
    <row r="694">
      <c r="B694" s="131"/>
      <c r="D694" s="167"/>
    </row>
    <row r="695">
      <c r="B695" s="131"/>
      <c r="D695" s="167"/>
    </row>
    <row r="696">
      <c r="B696" s="131"/>
      <c r="D696" s="167"/>
    </row>
    <row r="697">
      <c r="B697" s="131"/>
      <c r="D697" s="167"/>
    </row>
    <row r="698">
      <c r="B698" s="131"/>
      <c r="D698" s="167"/>
    </row>
    <row r="699">
      <c r="B699" s="131"/>
      <c r="D699" s="167"/>
    </row>
    <row r="700">
      <c r="B700" s="131"/>
      <c r="D700" s="167"/>
    </row>
    <row r="701">
      <c r="B701" s="131"/>
      <c r="D701" s="167"/>
    </row>
    <row r="702">
      <c r="B702" s="131"/>
      <c r="D702" s="167"/>
    </row>
    <row r="703">
      <c r="B703" s="131"/>
      <c r="D703" s="167"/>
    </row>
    <row r="704">
      <c r="B704" s="131"/>
      <c r="D704" s="167"/>
    </row>
    <row r="705">
      <c r="B705" s="131"/>
      <c r="D705" s="167"/>
    </row>
    <row r="706">
      <c r="B706" s="131"/>
      <c r="D706" s="167"/>
    </row>
    <row r="707">
      <c r="B707" s="131"/>
      <c r="D707" s="167"/>
    </row>
    <row r="708">
      <c r="B708" s="131"/>
      <c r="D708" s="167"/>
    </row>
    <row r="709">
      <c r="B709" s="131"/>
      <c r="D709" s="167"/>
    </row>
    <row r="710">
      <c r="B710" s="131"/>
      <c r="D710" s="167"/>
    </row>
    <row r="711">
      <c r="B711" s="131"/>
      <c r="D711" s="167"/>
    </row>
    <row r="712">
      <c r="B712" s="131"/>
      <c r="D712" s="167"/>
    </row>
    <row r="713">
      <c r="B713" s="131"/>
      <c r="D713" s="167"/>
    </row>
    <row r="714">
      <c r="B714" s="131"/>
      <c r="D714" s="167"/>
    </row>
    <row r="715">
      <c r="B715" s="131"/>
      <c r="D715" s="167"/>
    </row>
    <row r="716">
      <c r="B716" s="131"/>
      <c r="D716" s="167"/>
    </row>
    <row r="717">
      <c r="B717" s="131"/>
      <c r="D717" s="167"/>
    </row>
    <row r="718">
      <c r="B718" s="131"/>
      <c r="D718" s="167"/>
    </row>
    <row r="719">
      <c r="B719" s="131"/>
      <c r="D719" s="167"/>
    </row>
    <row r="720">
      <c r="B720" s="131"/>
      <c r="D720" s="167"/>
    </row>
    <row r="721">
      <c r="B721" s="131"/>
      <c r="D721" s="167"/>
    </row>
    <row r="722">
      <c r="B722" s="131"/>
      <c r="D722" s="167"/>
    </row>
    <row r="723">
      <c r="B723" s="131"/>
      <c r="D723" s="167"/>
    </row>
    <row r="724">
      <c r="B724" s="131"/>
      <c r="D724" s="167"/>
    </row>
    <row r="725">
      <c r="B725" s="131"/>
      <c r="D725" s="167"/>
    </row>
    <row r="726">
      <c r="B726" s="131"/>
      <c r="D726" s="167"/>
    </row>
    <row r="727">
      <c r="B727" s="131"/>
      <c r="D727" s="167"/>
    </row>
    <row r="728">
      <c r="B728" s="131"/>
      <c r="D728" s="167"/>
    </row>
    <row r="729">
      <c r="B729" s="131"/>
      <c r="D729" s="167"/>
    </row>
    <row r="730">
      <c r="B730" s="131"/>
      <c r="D730" s="167"/>
    </row>
    <row r="731">
      <c r="B731" s="131"/>
      <c r="D731" s="167"/>
    </row>
    <row r="732">
      <c r="B732" s="131"/>
      <c r="D732" s="167"/>
    </row>
    <row r="733">
      <c r="B733" s="131"/>
      <c r="D733" s="167"/>
    </row>
    <row r="734">
      <c r="B734" s="131"/>
      <c r="D734" s="167"/>
    </row>
    <row r="735">
      <c r="B735" s="131"/>
      <c r="D735" s="167"/>
    </row>
    <row r="736">
      <c r="B736" s="131"/>
      <c r="D736" s="167"/>
    </row>
    <row r="737">
      <c r="B737" s="131"/>
      <c r="D737" s="167"/>
    </row>
    <row r="738">
      <c r="B738" s="131"/>
      <c r="D738" s="167"/>
    </row>
    <row r="739">
      <c r="B739" s="131"/>
      <c r="D739" s="167"/>
    </row>
    <row r="740">
      <c r="B740" s="131"/>
      <c r="D740" s="167"/>
    </row>
    <row r="741">
      <c r="B741" s="131"/>
      <c r="D741" s="167"/>
    </row>
    <row r="742">
      <c r="B742" s="131"/>
      <c r="D742" s="167"/>
    </row>
    <row r="743">
      <c r="B743" s="131"/>
      <c r="D743" s="167"/>
    </row>
    <row r="744">
      <c r="B744" s="131"/>
      <c r="D744" s="167"/>
    </row>
    <row r="745">
      <c r="B745" s="131"/>
      <c r="D745" s="167"/>
    </row>
    <row r="746">
      <c r="B746" s="131"/>
      <c r="D746" s="167"/>
    </row>
    <row r="747">
      <c r="B747" s="131"/>
      <c r="D747" s="167"/>
    </row>
    <row r="748">
      <c r="B748" s="131"/>
      <c r="D748" s="167"/>
    </row>
    <row r="749">
      <c r="B749" s="131"/>
      <c r="D749" s="167"/>
    </row>
    <row r="750">
      <c r="B750" s="131"/>
      <c r="D750" s="167"/>
    </row>
    <row r="751">
      <c r="B751" s="131"/>
      <c r="D751" s="167"/>
    </row>
    <row r="752">
      <c r="B752" s="131"/>
      <c r="D752" s="167"/>
    </row>
    <row r="753">
      <c r="B753" s="131"/>
      <c r="D753" s="167"/>
    </row>
    <row r="754">
      <c r="B754" s="131"/>
      <c r="D754" s="167"/>
    </row>
    <row r="755">
      <c r="B755" s="131"/>
      <c r="D755" s="167"/>
    </row>
    <row r="756">
      <c r="B756" s="131"/>
      <c r="D756" s="167"/>
    </row>
    <row r="757">
      <c r="B757" s="131"/>
      <c r="D757" s="167"/>
    </row>
    <row r="758">
      <c r="B758" s="131"/>
      <c r="D758" s="167"/>
    </row>
    <row r="759">
      <c r="B759" s="131"/>
      <c r="D759" s="167"/>
    </row>
    <row r="760">
      <c r="B760" s="131"/>
      <c r="D760" s="167"/>
    </row>
    <row r="761">
      <c r="B761" s="131"/>
      <c r="D761" s="167"/>
    </row>
    <row r="762">
      <c r="B762" s="131"/>
      <c r="D762" s="167"/>
    </row>
    <row r="763">
      <c r="B763" s="131"/>
      <c r="D763" s="167"/>
    </row>
    <row r="764">
      <c r="B764" s="131"/>
      <c r="D764" s="167"/>
    </row>
    <row r="765">
      <c r="B765" s="131"/>
      <c r="D765" s="167"/>
    </row>
    <row r="766">
      <c r="B766" s="131"/>
      <c r="D766" s="167"/>
    </row>
    <row r="767">
      <c r="B767" s="131"/>
      <c r="D767" s="167"/>
    </row>
    <row r="768">
      <c r="B768" s="131"/>
      <c r="D768" s="167"/>
    </row>
    <row r="769">
      <c r="B769" s="131"/>
      <c r="D769" s="167"/>
    </row>
    <row r="770">
      <c r="B770" s="131"/>
      <c r="D770" s="167"/>
    </row>
    <row r="771">
      <c r="B771" s="131"/>
      <c r="D771" s="167"/>
    </row>
    <row r="772">
      <c r="B772" s="131"/>
      <c r="D772" s="167"/>
    </row>
    <row r="773">
      <c r="B773" s="131"/>
      <c r="D773" s="167"/>
    </row>
    <row r="774">
      <c r="B774" s="131"/>
      <c r="D774" s="167"/>
    </row>
    <row r="775">
      <c r="B775" s="131"/>
      <c r="D775" s="167"/>
    </row>
    <row r="776">
      <c r="B776" s="131"/>
      <c r="D776" s="167"/>
    </row>
    <row r="777">
      <c r="B777" s="131"/>
      <c r="D777" s="167"/>
    </row>
    <row r="778">
      <c r="B778" s="131"/>
      <c r="D778" s="167"/>
    </row>
    <row r="779">
      <c r="B779" s="131"/>
      <c r="D779" s="167"/>
    </row>
    <row r="780">
      <c r="B780" s="131"/>
      <c r="D780" s="167"/>
    </row>
    <row r="781">
      <c r="B781" s="131"/>
      <c r="D781" s="167"/>
    </row>
    <row r="782">
      <c r="B782" s="131"/>
      <c r="D782" s="167"/>
    </row>
    <row r="783">
      <c r="B783" s="131"/>
      <c r="D783" s="167"/>
    </row>
    <row r="784">
      <c r="B784" s="131"/>
      <c r="D784" s="167"/>
    </row>
    <row r="785">
      <c r="B785" s="131"/>
      <c r="D785" s="167"/>
    </row>
    <row r="786">
      <c r="B786" s="131"/>
      <c r="D786" s="167"/>
    </row>
    <row r="787">
      <c r="B787" s="131"/>
      <c r="D787" s="167"/>
    </row>
    <row r="788">
      <c r="B788" s="131"/>
      <c r="D788" s="167"/>
    </row>
    <row r="789">
      <c r="B789" s="131"/>
      <c r="D789" s="167"/>
    </row>
    <row r="790">
      <c r="B790" s="131"/>
      <c r="D790" s="167"/>
    </row>
    <row r="791">
      <c r="B791" s="131"/>
      <c r="D791" s="167"/>
    </row>
    <row r="792">
      <c r="B792" s="131"/>
      <c r="D792" s="167"/>
    </row>
    <row r="793">
      <c r="B793" s="131"/>
      <c r="D793" s="167"/>
    </row>
    <row r="794">
      <c r="B794" s="131"/>
      <c r="D794" s="167"/>
    </row>
    <row r="795">
      <c r="B795" s="131"/>
      <c r="D795" s="167"/>
    </row>
    <row r="796">
      <c r="B796" s="131"/>
      <c r="D796" s="167"/>
    </row>
    <row r="797">
      <c r="B797" s="131"/>
      <c r="D797" s="167"/>
    </row>
    <row r="798">
      <c r="B798" s="131"/>
      <c r="D798" s="167"/>
    </row>
    <row r="799">
      <c r="B799" s="131"/>
      <c r="D799" s="167"/>
    </row>
    <row r="800">
      <c r="B800" s="131"/>
      <c r="D800" s="167"/>
    </row>
    <row r="801">
      <c r="B801" s="131"/>
      <c r="D801" s="167"/>
    </row>
    <row r="802">
      <c r="B802" s="131"/>
      <c r="D802" s="167"/>
    </row>
    <row r="803">
      <c r="B803" s="131"/>
      <c r="D803" s="167"/>
    </row>
    <row r="804">
      <c r="B804" s="131"/>
      <c r="D804" s="167"/>
    </row>
    <row r="805">
      <c r="B805" s="131"/>
      <c r="D805" s="167"/>
    </row>
    <row r="806">
      <c r="B806" s="131"/>
      <c r="D806" s="167"/>
    </row>
    <row r="807">
      <c r="B807" s="131"/>
      <c r="D807" s="167"/>
    </row>
    <row r="808">
      <c r="B808" s="131"/>
      <c r="D808" s="167"/>
    </row>
    <row r="809">
      <c r="B809" s="131"/>
      <c r="D809" s="167"/>
    </row>
    <row r="810">
      <c r="B810" s="131"/>
      <c r="D810" s="167"/>
    </row>
    <row r="811">
      <c r="B811" s="131"/>
      <c r="D811" s="167"/>
    </row>
    <row r="812">
      <c r="B812" s="131"/>
      <c r="D812" s="167"/>
    </row>
    <row r="813">
      <c r="B813" s="131"/>
      <c r="D813" s="167"/>
    </row>
    <row r="814">
      <c r="B814" s="131"/>
      <c r="D814" s="167"/>
    </row>
    <row r="815">
      <c r="B815" s="131"/>
      <c r="D815" s="167"/>
    </row>
    <row r="816">
      <c r="B816" s="131"/>
      <c r="D816" s="167"/>
    </row>
    <row r="817">
      <c r="B817" s="131"/>
      <c r="D817" s="167"/>
    </row>
    <row r="818">
      <c r="B818" s="131"/>
      <c r="D818" s="167"/>
    </row>
    <row r="819">
      <c r="B819" s="131"/>
      <c r="D819" s="167"/>
    </row>
    <row r="820">
      <c r="B820" s="131"/>
      <c r="D820" s="167"/>
    </row>
    <row r="821">
      <c r="B821" s="131"/>
      <c r="D821" s="167"/>
    </row>
    <row r="822">
      <c r="B822" s="131"/>
      <c r="D822" s="167"/>
    </row>
    <row r="823">
      <c r="B823" s="131"/>
      <c r="D823" s="167"/>
    </row>
    <row r="824">
      <c r="B824" s="131"/>
      <c r="D824" s="167"/>
    </row>
    <row r="825">
      <c r="B825" s="131"/>
      <c r="D825" s="167"/>
    </row>
    <row r="826">
      <c r="B826" s="131"/>
      <c r="D826" s="167"/>
    </row>
    <row r="827">
      <c r="B827" s="131"/>
      <c r="D827" s="167"/>
    </row>
    <row r="828">
      <c r="B828" s="131"/>
      <c r="D828" s="167"/>
    </row>
    <row r="829">
      <c r="B829" s="131"/>
      <c r="D829" s="167"/>
    </row>
    <row r="830">
      <c r="B830" s="131"/>
      <c r="D830" s="167"/>
    </row>
    <row r="831">
      <c r="B831" s="131"/>
      <c r="D831" s="167"/>
    </row>
    <row r="832">
      <c r="B832" s="131"/>
      <c r="D832" s="167"/>
    </row>
    <row r="833">
      <c r="B833" s="131"/>
      <c r="D833" s="167"/>
    </row>
    <row r="834">
      <c r="B834" s="131"/>
      <c r="D834" s="167"/>
    </row>
    <row r="835">
      <c r="B835" s="131"/>
      <c r="D835" s="167"/>
    </row>
    <row r="836">
      <c r="B836" s="131"/>
      <c r="D836" s="167"/>
    </row>
    <row r="837">
      <c r="B837" s="131"/>
      <c r="D837" s="167"/>
    </row>
    <row r="838">
      <c r="B838" s="131"/>
      <c r="D838" s="167"/>
    </row>
    <row r="839">
      <c r="B839" s="131"/>
      <c r="D839" s="167"/>
    </row>
    <row r="840">
      <c r="B840" s="131"/>
      <c r="D840" s="167"/>
    </row>
    <row r="841">
      <c r="B841" s="131"/>
      <c r="D841" s="167"/>
    </row>
    <row r="842">
      <c r="B842" s="131"/>
      <c r="D842" s="167"/>
    </row>
    <row r="843">
      <c r="B843" s="131"/>
      <c r="D843" s="167"/>
    </row>
    <row r="844">
      <c r="B844" s="131"/>
      <c r="D844" s="167"/>
    </row>
    <row r="845">
      <c r="B845" s="131"/>
      <c r="D845" s="167"/>
    </row>
    <row r="846">
      <c r="B846" s="131"/>
      <c r="D846" s="167"/>
    </row>
    <row r="847">
      <c r="B847" s="131"/>
      <c r="D847" s="167"/>
    </row>
    <row r="848">
      <c r="B848" s="131"/>
      <c r="D848" s="167"/>
    </row>
    <row r="849">
      <c r="B849" s="131"/>
      <c r="D849" s="167"/>
    </row>
    <row r="850">
      <c r="B850" s="131"/>
      <c r="D850" s="167"/>
    </row>
    <row r="851">
      <c r="B851" s="131"/>
      <c r="D851" s="167"/>
    </row>
    <row r="852">
      <c r="B852" s="131"/>
      <c r="D852" s="167"/>
    </row>
    <row r="853">
      <c r="B853" s="131"/>
      <c r="D853" s="167"/>
    </row>
    <row r="854">
      <c r="B854" s="131"/>
      <c r="D854" s="167"/>
    </row>
    <row r="855">
      <c r="B855" s="131"/>
      <c r="D855" s="167"/>
    </row>
    <row r="856">
      <c r="B856" s="131"/>
      <c r="D856" s="167"/>
    </row>
    <row r="857">
      <c r="B857" s="131"/>
      <c r="D857" s="167"/>
    </row>
    <row r="858">
      <c r="B858" s="131"/>
      <c r="D858" s="167"/>
    </row>
    <row r="859">
      <c r="B859" s="131"/>
      <c r="D859" s="167"/>
    </row>
    <row r="860">
      <c r="B860" s="131"/>
      <c r="D860" s="167"/>
    </row>
    <row r="861">
      <c r="B861" s="131"/>
      <c r="D861" s="167"/>
    </row>
    <row r="862">
      <c r="B862" s="131"/>
      <c r="D862" s="167"/>
    </row>
    <row r="863">
      <c r="B863" s="131"/>
      <c r="D863" s="167"/>
    </row>
    <row r="864">
      <c r="B864" s="131"/>
      <c r="D864" s="167"/>
    </row>
    <row r="865">
      <c r="B865" s="131"/>
      <c r="D865" s="167"/>
    </row>
    <row r="866">
      <c r="B866" s="131"/>
      <c r="D866" s="167"/>
    </row>
    <row r="867">
      <c r="B867" s="131"/>
      <c r="D867" s="167"/>
    </row>
    <row r="868">
      <c r="B868" s="131"/>
      <c r="D868" s="167"/>
    </row>
    <row r="869">
      <c r="B869" s="131"/>
      <c r="D869" s="167"/>
    </row>
    <row r="870">
      <c r="B870" s="131"/>
      <c r="D870" s="167"/>
    </row>
    <row r="871">
      <c r="B871" s="131"/>
      <c r="D871" s="167"/>
    </row>
    <row r="872">
      <c r="B872" s="131"/>
      <c r="D872" s="167"/>
    </row>
    <row r="873">
      <c r="B873" s="131"/>
      <c r="D873" s="167"/>
    </row>
    <row r="874">
      <c r="B874" s="131"/>
      <c r="D874" s="167"/>
    </row>
    <row r="875">
      <c r="B875" s="131"/>
      <c r="D875" s="167"/>
    </row>
    <row r="876">
      <c r="B876" s="131"/>
      <c r="D876" s="167"/>
    </row>
    <row r="877">
      <c r="B877" s="131"/>
      <c r="D877" s="167"/>
    </row>
    <row r="878">
      <c r="B878" s="131"/>
      <c r="D878" s="167"/>
    </row>
    <row r="879">
      <c r="B879" s="131"/>
      <c r="D879" s="167"/>
    </row>
    <row r="880">
      <c r="B880" s="131"/>
      <c r="D880" s="167"/>
    </row>
    <row r="881">
      <c r="B881" s="131"/>
      <c r="D881" s="167"/>
    </row>
    <row r="882">
      <c r="B882" s="131"/>
      <c r="D882" s="167"/>
    </row>
    <row r="883">
      <c r="B883" s="131"/>
      <c r="D883" s="167"/>
    </row>
    <row r="884">
      <c r="B884" s="131"/>
      <c r="D884" s="167"/>
    </row>
    <row r="885">
      <c r="B885" s="131"/>
      <c r="D885" s="167"/>
    </row>
    <row r="886">
      <c r="B886" s="131"/>
      <c r="D886" s="167"/>
    </row>
    <row r="887">
      <c r="B887" s="131"/>
      <c r="D887" s="167"/>
    </row>
    <row r="888">
      <c r="B888" s="131"/>
      <c r="D888" s="167"/>
    </row>
    <row r="889">
      <c r="B889" s="131"/>
      <c r="D889" s="167"/>
    </row>
    <row r="890">
      <c r="B890" s="131"/>
      <c r="D890" s="167"/>
    </row>
    <row r="891">
      <c r="B891" s="131"/>
      <c r="D891" s="167"/>
    </row>
    <row r="892">
      <c r="B892" s="131"/>
      <c r="D892" s="167"/>
    </row>
    <row r="893">
      <c r="B893" s="131"/>
      <c r="D893" s="167"/>
    </row>
    <row r="894">
      <c r="B894" s="131"/>
      <c r="D894" s="167"/>
    </row>
    <row r="895">
      <c r="B895" s="131"/>
      <c r="D895" s="167"/>
    </row>
    <row r="896">
      <c r="B896" s="131"/>
      <c r="D896" s="167"/>
    </row>
    <row r="897">
      <c r="B897" s="131"/>
      <c r="D897" s="167"/>
    </row>
    <row r="898">
      <c r="B898" s="131"/>
      <c r="D898" s="167"/>
    </row>
    <row r="899">
      <c r="B899" s="131"/>
      <c r="D899" s="167"/>
    </row>
    <row r="900">
      <c r="B900" s="131"/>
      <c r="D900" s="167"/>
    </row>
    <row r="901">
      <c r="B901" s="131"/>
      <c r="D901" s="167"/>
    </row>
    <row r="902">
      <c r="B902" s="131"/>
      <c r="D902" s="167"/>
    </row>
    <row r="903">
      <c r="B903" s="131"/>
      <c r="D903" s="167"/>
    </row>
    <row r="904">
      <c r="B904" s="131"/>
      <c r="D904" s="167"/>
    </row>
    <row r="905">
      <c r="B905" s="131"/>
      <c r="D905" s="167"/>
    </row>
    <row r="906">
      <c r="B906" s="131"/>
      <c r="D906" s="167"/>
    </row>
    <row r="907">
      <c r="B907" s="131"/>
      <c r="D907" s="167"/>
    </row>
    <row r="908">
      <c r="B908" s="131"/>
      <c r="D908" s="167"/>
    </row>
    <row r="909">
      <c r="B909" s="131"/>
      <c r="D909" s="167"/>
    </row>
    <row r="910">
      <c r="B910" s="131"/>
      <c r="D910" s="167"/>
    </row>
    <row r="911">
      <c r="B911" s="131"/>
      <c r="D911" s="167"/>
    </row>
    <row r="912">
      <c r="B912" s="131"/>
      <c r="D912" s="167"/>
    </row>
    <row r="913">
      <c r="B913" s="131"/>
      <c r="D913" s="167"/>
    </row>
    <row r="914">
      <c r="B914" s="131"/>
      <c r="D914" s="167"/>
    </row>
    <row r="915">
      <c r="B915" s="131"/>
      <c r="D915" s="167"/>
    </row>
    <row r="916">
      <c r="B916" s="131"/>
      <c r="D916" s="167"/>
    </row>
    <row r="917">
      <c r="B917" s="131"/>
      <c r="D917" s="167"/>
    </row>
    <row r="918">
      <c r="B918" s="131"/>
      <c r="D918" s="167"/>
    </row>
    <row r="919">
      <c r="B919" s="131"/>
      <c r="D919" s="167"/>
    </row>
    <row r="920">
      <c r="B920" s="131"/>
      <c r="D920" s="167"/>
    </row>
    <row r="921">
      <c r="B921" s="131"/>
      <c r="D921" s="167"/>
    </row>
    <row r="922">
      <c r="B922" s="131"/>
      <c r="D922" s="167"/>
    </row>
    <row r="923">
      <c r="B923" s="131"/>
      <c r="D923" s="167"/>
    </row>
    <row r="924">
      <c r="B924" s="131"/>
      <c r="D924" s="167"/>
    </row>
    <row r="925">
      <c r="B925" s="131"/>
      <c r="D925" s="167"/>
    </row>
    <row r="926">
      <c r="B926" s="131"/>
      <c r="D926" s="167"/>
    </row>
    <row r="927">
      <c r="B927" s="131"/>
      <c r="D927" s="167"/>
    </row>
    <row r="928">
      <c r="B928" s="131"/>
      <c r="D928" s="167"/>
    </row>
    <row r="929">
      <c r="B929" s="131"/>
      <c r="D929" s="167"/>
    </row>
    <row r="930">
      <c r="B930" s="131"/>
      <c r="D930" s="167"/>
    </row>
    <row r="931">
      <c r="B931" s="131"/>
      <c r="D931" s="167"/>
    </row>
    <row r="932">
      <c r="B932" s="131"/>
      <c r="D932" s="167"/>
    </row>
    <row r="933">
      <c r="B933" s="131"/>
      <c r="D933" s="167"/>
    </row>
    <row r="934">
      <c r="B934" s="131"/>
      <c r="D934" s="167"/>
    </row>
    <row r="935">
      <c r="B935" s="131"/>
      <c r="D935" s="167"/>
    </row>
    <row r="936">
      <c r="B936" s="131"/>
      <c r="D936" s="167"/>
    </row>
    <row r="937">
      <c r="B937" s="131"/>
      <c r="D937" s="167"/>
    </row>
    <row r="938">
      <c r="B938" s="131"/>
      <c r="D938" s="167"/>
    </row>
    <row r="939">
      <c r="B939" s="131"/>
      <c r="D939" s="167"/>
    </row>
    <row r="940">
      <c r="B940" s="131"/>
      <c r="D940" s="167"/>
    </row>
    <row r="941">
      <c r="B941" s="131"/>
      <c r="D941" s="167"/>
    </row>
    <row r="942">
      <c r="B942" s="131"/>
      <c r="D942" s="167"/>
    </row>
    <row r="943">
      <c r="B943" s="131"/>
      <c r="D943" s="167"/>
    </row>
    <row r="944">
      <c r="B944" s="131"/>
      <c r="D944" s="167"/>
    </row>
    <row r="945">
      <c r="B945" s="131"/>
      <c r="D945" s="167"/>
    </row>
    <row r="946">
      <c r="B946" s="131"/>
      <c r="D946" s="167"/>
    </row>
    <row r="947">
      <c r="B947" s="131"/>
      <c r="D947" s="167"/>
    </row>
    <row r="948">
      <c r="B948" s="131"/>
      <c r="D948" s="167"/>
    </row>
    <row r="949">
      <c r="B949" s="131"/>
      <c r="D949" s="167"/>
    </row>
    <row r="950">
      <c r="B950" s="131"/>
      <c r="D950" s="167"/>
    </row>
    <row r="951">
      <c r="B951" s="131"/>
      <c r="D951" s="167"/>
    </row>
    <row r="952">
      <c r="B952" s="131"/>
      <c r="D952" s="167"/>
    </row>
    <row r="953">
      <c r="B953" s="131"/>
      <c r="D953" s="167"/>
    </row>
    <row r="954">
      <c r="B954" s="131"/>
      <c r="D954" s="167"/>
    </row>
    <row r="955">
      <c r="B955" s="131"/>
      <c r="D955" s="167"/>
    </row>
    <row r="956">
      <c r="B956" s="131"/>
      <c r="D956" s="167"/>
    </row>
    <row r="957">
      <c r="B957" s="131"/>
      <c r="D957" s="167"/>
    </row>
    <row r="958">
      <c r="B958" s="131"/>
      <c r="D958" s="167"/>
    </row>
    <row r="959">
      <c r="B959" s="131"/>
      <c r="D959" s="167"/>
    </row>
    <row r="960">
      <c r="B960" s="131"/>
      <c r="D960" s="167"/>
    </row>
    <row r="961">
      <c r="B961" s="131"/>
      <c r="D961" s="167"/>
    </row>
    <row r="962">
      <c r="B962" s="131"/>
      <c r="D962" s="167"/>
    </row>
    <row r="963">
      <c r="B963" s="131"/>
      <c r="D963" s="167"/>
    </row>
    <row r="964">
      <c r="B964" s="131"/>
      <c r="D964" s="167"/>
    </row>
    <row r="965">
      <c r="B965" s="131"/>
      <c r="D965" s="167"/>
    </row>
    <row r="966">
      <c r="B966" s="131"/>
      <c r="D966" s="167"/>
    </row>
    <row r="967">
      <c r="B967" s="131"/>
      <c r="D967" s="167"/>
    </row>
    <row r="968">
      <c r="B968" s="131"/>
      <c r="D968" s="167"/>
    </row>
    <row r="969">
      <c r="B969" s="131"/>
      <c r="D969" s="167"/>
    </row>
    <row r="970">
      <c r="B970" s="131"/>
      <c r="D970" s="167"/>
    </row>
    <row r="971">
      <c r="B971" s="131"/>
      <c r="D971" s="167"/>
    </row>
    <row r="972">
      <c r="B972" s="131"/>
      <c r="D972" s="167"/>
    </row>
    <row r="973">
      <c r="B973" s="131"/>
      <c r="D973" s="167"/>
    </row>
    <row r="974">
      <c r="B974" s="131"/>
      <c r="D974" s="167"/>
    </row>
    <row r="975">
      <c r="B975" s="131"/>
      <c r="D975" s="167"/>
    </row>
    <row r="976">
      <c r="B976" s="131"/>
      <c r="D976" s="167"/>
    </row>
    <row r="977">
      <c r="B977" s="131"/>
      <c r="D977" s="167"/>
    </row>
    <row r="978">
      <c r="B978" s="131"/>
      <c r="D978" s="167"/>
    </row>
    <row r="979">
      <c r="B979" s="131"/>
      <c r="D979" s="167"/>
    </row>
    <row r="980">
      <c r="B980" s="131"/>
      <c r="D980" s="167"/>
    </row>
    <row r="981">
      <c r="B981" s="131"/>
      <c r="D981" s="167"/>
    </row>
    <row r="982">
      <c r="B982" s="131"/>
      <c r="D982" s="167"/>
    </row>
    <row r="983">
      <c r="B983" s="131"/>
      <c r="D983" s="167"/>
    </row>
    <row r="984">
      <c r="B984" s="131"/>
      <c r="D984" s="167"/>
    </row>
    <row r="985">
      <c r="B985" s="131"/>
      <c r="D985" s="167"/>
    </row>
    <row r="986">
      <c r="B986" s="131"/>
      <c r="D986" s="167"/>
    </row>
    <row r="987">
      <c r="B987" s="131"/>
      <c r="D987" s="167"/>
    </row>
    <row r="988">
      <c r="B988" s="131"/>
      <c r="D988" s="167"/>
    </row>
    <row r="989">
      <c r="B989" s="131"/>
      <c r="D989" s="167"/>
    </row>
    <row r="990">
      <c r="B990" s="131"/>
      <c r="D990" s="167"/>
    </row>
    <row r="991">
      <c r="B991" s="131"/>
      <c r="D991" s="167"/>
    </row>
    <row r="992">
      <c r="B992" s="131"/>
      <c r="D992" s="167"/>
    </row>
    <row r="993">
      <c r="B993" s="131"/>
      <c r="D993" s="167"/>
    </row>
    <row r="994">
      <c r="B994" s="131"/>
      <c r="D994" s="167"/>
    </row>
    <row r="995">
      <c r="B995" s="131"/>
      <c r="D995" s="167"/>
    </row>
    <row r="996">
      <c r="B996" s="131"/>
      <c r="D996" s="167"/>
    </row>
    <row r="997">
      <c r="B997" s="131"/>
      <c r="D997" s="167"/>
    </row>
    <row r="998">
      <c r="B998" s="131"/>
      <c r="D998" s="167"/>
    </row>
    <row r="999">
      <c r="B999" s="131"/>
      <c r="D999" s="167"/>
    </row>
    <row r="1000">
      <c r="B1000" s="131"/>
      <c r="D1000" s="167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6.43"/>
  </cols>
  <sheetData>
    <row r="1">
      <c r="A1" s="162" t="s">
        <v>74</v>
      </c>
      <c r="B1" s="164"/>
      <c r="C1" s="164"/>
      <c r="D1" s="164"/>
      <c r="E1" s="164"/>
      <c r="F1" s="164"/>
      <c r="G1" s="164"/>
      <c r="H1" s="166"/>
      <c r="I1" s="166"/>
    </row>
    <row r="2">
      <c r="A2" s="168" t="s">
        <v>78</v>
      </c>
      <c r="B2" s="169" t="s">
        <v>79</v>
      </c>
      <c r="C2" s="169" t="s">
        <v>3</v>
      </c>
      <c r="D2" s="169" t="s">
        <v>4</v>
      </c>
      <c r="E2" s="169" t="s">
        <v>5</v>
      </c>
      <c r="F2" s="169" t="s">
        <v>6</v>
      </c>
      <c r="G2" s="169" t="s">
        <v>80</v>
      </c>
      <c r="H2" s="166"/>
      <c r="I2" s="166"/>
    </row>
    <row r="3">
      <c r="A3" s="170" t="s">
        <v>81</v>
      </c>
      <c r="B3" s="171">
        <v>182.25</v>
      </c>
      <c r="C3" s="171">
        <v>135.0</v>
      </c>
      <c r="D3" s="171">
        <v>130.0</v>
      </c>
      <c r="E3" s="171">
        <v>120.0</v>
      </c>
      <c r="F3" s="171">
        <v>115.0</v>
      </c>
      <c r="G3" s="171">
        <v>105.0</v>
      </c>
      <c r="H3" s="166"/>
      <c r="I3" s="166"/>
    </row>
    <row r="4">
      <c r="A4" s="170" t="s">
        <v>82</v>
      </c>
      <c r="B4" s="171">
        <v>345.0</v>
      </c>
      <c r="C4" s="171">
        <v>325.0</v>
      </c>
      <c r="D4" s="171">
        <v>305.0</v>
      </c>
      <c r="E4" s="171">
        <v>290.0</v>
      </c>
      <c r="F4" s="171">
        <v>275.0</v>
      </c>
      <c r="G4" s="171">
        <v>260.0</v>
      </c>
      <c r="H4" s="166"/>
      <c r="I4" s="166"/>
    </row>
    <row r="5">
      <c r="A5" s="170" t="s">
        <v>83</v>
      </c>
      <c r="B5" s="171">
        <v>310.0</v>
      </c>
      <c r="C5" s="171">
        <v>290.0</v>
      </c>
      <c r="D5" s="171">
        <v>270.0</v>
      </c>
      <c r="E5" s="171">
        <v>255.0</v>
      </c>
      <c r="F5" s="171">
        <v>240.0</v>
      </c>
      <c r="G5" s="171">
        <v>225.0</v>
      </c>
      <c r="H5" s="166"/>
      <c r="I5" s="166"/>
    </row>
    <row r="6">
      <c r="A6" s="170" t="s">
        <v>84</v>
      </c>
      <c r="B6" s="171">
        <f t="shared" ref="B6:E6" si="1">300*1.35</f>
        <v>405</v>
      </c>
      <c r="C6" s="171">
        <f t="shared" si="1"/>
        <v>405</v>
      </c>
      <c r="D6" s="171">
        <f t="shared" si="1"/>
        <v>405</v>
      </c>
      <c r="E6" s="171">
        <f t="shared" si="1"/>
        <v>405</v>
      </c>
      <c r="F6" s="171">
        <f>240*1.35</f>
        <v>324</v>
      </c>
      <c r="G6" s="171">
        <f>205*1.35</f>
        <v>276.75</v>
      </c>
      <c r="H6" s="166"/>
      <c r="I6" s="166"/>
    </row>
    <row r="7">
      <c r="A7" s="170" t="s">
        <v>86</v>
      </c>
      <c r="B7" s="171">
        <f>75*1.35</f>
        <v>101.25</v>
      </c>
      <c r="C7" s="171">
        <f t="shared" ref="C7:G7" si="2">74.5*1.35</f>
        <v>100.575</v>
      </c>
      <c r="D7" s="171">
        <f t="shared" si="2"/>
        <v>100.575</v>
      </c>
      <c r="E7" s="171">
        <f t="shared" si="2"/>
        <v>100.575</v>
      </c>
      <c r="F7" s="171">
        <f t="shared" si="2"/>
        <v>100.575</v>
      </c>
      <c r="G7" s="171">
        <f t="shared" si="2"/>
        <v>100.575</v>
      </c>
      <c r="H7" s="166"/>
      <c r="I7" s="166"/>
    </row>
    <row r="8">
      <c r="A8" s="170" t="s">
        <v>87</v>
      </c>
      <c r="B8" s="171">
        <f t="shared" ref="B8:G8" si="3">15*1.35</f>
        <v>20.25</v>
      </c>
      <c r="C8" s="171">
        <f t="shared" si="3"/>
        <v>20.25</v>
      </c>
      <c r="D8" s="171">
        <f t="shared" si="3"/>
        <v>20.25</v>
      </c>
      <c r="E8" s="171">
        <f t="shared" si="3"/>
        <v>20.25</v>
      </c>
      <c r="F8" s="171">
        <f t="shared" si="3"/>
        <v>20.25</v>
      </c>
      <c r="G8" s="171">
        <f t="shared" si="3"/>
        <v>20.25</v>
      </c>
      <c r="H8" s="166"/>
      <c r="I8" s="166"/>
    </row>
    <row r="9">
      <c r="A9" s="170" t="s">
        <v>88</v>
      </c>
      <c r="B9" s="171">
        <f>(1000/50)+4.5*1.35</f>
        <v>26.075</v>
      </c>
      <c r="C9" s="171">
        <f>(1000/100)+4.5*1.35</f>
        <v>16.075</v>
      </c>
      <c r="D9" s="171">
        <f>(1000/200)+4.5*1.35</f>
        <v>11.075</v>
      </c>
      <c r="E9" s="171">
        <f>(1000/300)+4.5*1.35</f>
        <v>9.408333333</v>
      </c>
      <c r="F9" s="171">
        <f>(1000/500)+4.5*1.35</f>
        <v>8.075</v>
      </c>
      <c r="G9" s="171">
        <f>(1000/1000)+4.5*1.35</f>
        <v>7.075</v>
      </c>
      <c r="H9" s="166"/>
      <c r="I9" s="166"/>
    </row>
    <row r="10">
      <c r="A10" s="170" t="s">
        <v>89</v>
      </c>
      <c r="B10" s="171">
        <f>75*1.35</f>
        <v>101.25</v>
      </c>
      <c r="C10" s="171">
        <f t="shared" ref="C10:G10" si="4">74.5*1.35</f>
        <v>100.575</v>
      </c>
      <c r="D10" s="171">
        <f t="shared" si="4"/>
        <v>100.575</v>
      </c>
      <c r="E10" s="171">
        <f t="shared" si="4"/>
        <v>100.575</v>
      </c>
      <c r="F10" s="171">
        <f t="shared" si="4"/>
        <v>100.575</v>
      </c>
      <c r="G10" s="171">
        <f t="shared" si="4"/>
        <v>100.575</v>
      </c>
      <c r="H10" s="166"/>
      <c r="I10" s="166"/>
    </row>
    <row r="11">
      <c r="A11" s="170" t="s">
        <v>60</v>
      </c>
      <c r="B11" s="171">
        <v>10.0</v>
      </c>
      <c r="C11" s="171">
        <v>10.0</v>
      </c>
      <c r="D11" s="171">
        <v>10.0</v>
      </c>
      <c r="E11" s="171">
        <v>10.0</v>
      </c>
      <c r="F11" s="171">
        <v>10.0</v>
      </c>
      <c r="G11" s="171">
        <v>10.0</v>
      </c>
      <c r="H11" s="166"/>
      <c r="I11" s="166"/>
    </row>
    <row r="12">
      <c r="A12" s="172" t="s">
        <v>90</v>
      </c>
      <c r="B12" s="173">
        <f t="shared" ref="B12:G12" si="5">SUM(B3:B11)</f>
        <v>1501.075</v>
      </c>
      <c r="C12" s="173">
        <f t="shared" si="5"/>
        <v>1402.475</v>
      </c>
      <c r="D12" s="173">
        <f t="shared" si="5"/>
        <v>1352.475</v>
      </c>
      <c r="E12" s="173">
        <f t="shared" si="5"/>
        <v>1310.808333</v>
      </c>
      <c r="F12" s="173">
        <f t="shared" si="5"/>
        <v>1193.475</v>
      </c>
      <c r="G12" s="173">
        <f t="shared" si="5"/>
        <v>1105.225</v>
      </c>
      <c r="H12" s="166"/>
      <c r="I12" s="166"/>
    </row>
    <row r="13">
      <c r="A13" s="166"/>
      <c r="B13" s="166"/>
      <c r="C13" s="166"/>
      <c r="D13" s="166"/>
      <c r="E13" s="166"/>
      <c r="F13" s="166"/>
      <c r="G13" s="166"/>
      <c r="H13" s="166"/>
      <c r="I13" s="166"/>
    </row>
    <row r="14">
      <c r="A14" s="174" t="s">
        <v>92</v>
      </c>
      <c r="B14" s="175"/>
      <c r="C14" s="164"/>
      <c r="D14" s="164"/>
      <c r="E14" s="164"/>
      <c r="F14" s="164"/>
      <c r="G14" s="164"/>
      <c r="H14" s="166"/>
      <c r="I14" s="166"/>
    </row>
    <row r="15">
      <c r="A15" s="168" t="s">
        <v>78</v>
      </c>
      <c r="B15" s="169" t="s">
        <v>79</v>
      </c>
      <c r="C15" s="169" t="s">
        <v>3</v>
      </c>
      <c r="D15" s="169" t="s">
        <v>4</v>
      </c>
      <c r="E15" s="169" t="s">
        <v>5</v>
      </c>
      <c r="F15" s="169" t="s">
        <v>6</v>
      </c>
      <c r="G15" s="169" t="s">
        <v>80</v>
      </c>
      <c r="H15" s="166"/>
      <c r="I15" s="166"/>
    </row>
    <row r="16">
      <c r="A16" s="170" t="s">
        <v>93</v>
      </c>
      <c r="B16" s="171">
        <v>162.0</v>
      </c>
      <c r="C16" s="171">
        <v>120.0</v>
      </c>
      <c r="D16" s="171">
        <v>110.0</v>
      </c>
      <c r="E16" s="171">
        <v>105.0</v>
      </c>
      <c r="F16" s="171">
        <v>100.0</v>
      </c>
      <c r="G16" s="171">
        <v>90.0</v>
      </c>
      <c r="H16" s="166"/>
      <c r="I16" s="166"/>
    </row>
    <row r="17">
      <c r="A17" s="170" t="s">
        <v>94</v>
      </c>
      <c r="B17" s="171">
        <v>295.0</v>
      </c>
      <c r="C17" s="171">
        <v>275.0</v>
      </c>
      <c r="D17" s="171">
        <v>255.0</v>
      </c>
      <c r="E17" s="171">
        <v>240.0</v>
      </c>
      <c r="F17" s="171">
        <v>225.0</v>
      </c>
      <c r="G17" s="171">
        <v>210.0</v>
      </c>
      <c r="H17" s="166"/>
      <c r="I17" s="166"/>
    </row>
    <row r="18">
      <c r="A18" s="170" t="s">
        <v>95</v>
      </c>
      <c r="B18" s="171">
        <v>260.0</v>
      </c>
      <c r="C18" s="171">
        <v>240.0</v>
      </c>
      <c r="D18" s="171">
        <v>220.0</v>
      </c>
      <c r="E18" s="171">
        <v>205.0</v>
      </c>
      <c r="F18" s="171">
        <v>190.0</v>
      </c>
      <c r="G18" s="171">
        <v>175.0</v>
      </c>
      <c r="H18" s="166"/>
      <c r="I18" s="166"/>
    </row>
    <row r="19">
      <c r="A19" s="170" t="s">
        <v>84</v>
      </c>
      <c r="B19" s="171">
        <f t="shared" ref="B19:E19" si="6">300*1.35</f>
        <v>405</v>
      </c>
      <c r="C19" s="171">
        <f t="shared" si="6"/>
        <v>405</v>
      </c>
      <c r="D19" s="171">
        <f t="shared" si="6"/>
        <v>405</v>
      </c>
      <c r="E19" s="171">
        <f t="shared" si="6"/>
        <v>405</v>
      </c>
      <c r="F19" s="171">
        <f>240*1.35</f>
        <v>324</v>
      </c>
      <c r="G19" s="171">
        <f>205*1.35</f>
        <v>276.75</v>
      </c>
      <c r="H19" s="166"/>
      <c r="I19" s="166"/>
    </row>
    <row r="20">
      <c r="A20" s="170" t="s">
        <v>86</v>
      </c>
      <c r="B20" s="171">
        <f>75*1.35</f>
        <v>101.25</v>
      </c>
      <c r="C20" s="171">
        <f t="shared" ref="C20:G20" si="7">74.5*1.35</f>
        <v>100.575</v>
      </c>
      <c r="D20" s="171">
        <f t="shared" si="7"/>
        <v>100.575</v>
      </c>
      <c r="E20" s="171">
        <f t="shared" si="7"/>
        <v>100.575</v>
      </c>
      <c r="F20" s="171">
        <f t="shared" si="7"/>
        <v>100.575</v>
      </c>
      <c r="G20" s="171">
        <f t="shared" si="7"/>
        <v>100.575</v>
      </c>
      <c r="H20" s="166"/>
      <c r="I20" s="166"/>
    </row>
    <row r="21">
      <c r="A21" s="170" t="s">
        <v>87</v>
      </c>
      <c r="B21" s="171">
        <f t="shared" ref="B21:G21" si="8">15*1.35</f>
        <v>20.25</v>
      </c>
      <c r="C21" s="171">
        <f t="shared" si="8"/>
        <v>20.25</v>
      </c>
      <c r="D21" s="171">
        <f t="shared" si="8"/>
        <v>20.25</v>
      </c>
      <c r="E21" s="171">
        <f t="shared" si="8"/>
        <v>20.25</v>
      </c>
      <c r="F21" s="171">
        <f t="shared" si="8"/>
        <v>20.25</v>
      </c>
      <c r="G21" s="171">
        <f t="shared" si="8"/>
        <v>20.25</v>
      </c>
      <c r="H21" s="166"/>
      <c r="I21" s="166"/>
    </row>
    <row r="22">
      <c r="A22" s="170" t="s">
        <v>88</v>
      </c>
      <c r="B22" s="171">
        <f>(1000/50)+4.5*1.35</f>
        <v>26.075</v>
      </c>
      <c r="C22" s="171">
        <f>(1000/100)+4.5*1.35</f>
        <v>16.075</v>
      </c>
      <c r="D22" s="171">
        <f>(1000/200)+4.5*1.35</f>
        <v>11.075</v>
      </c>
      <c r="E22" s="171">
        <f>(1000/300)+4.5*1.35</f>
        <v>9.408333333</v>
      </c>
      <c r="F22" s="171">
        <f>(1000/500)+4.5*1.35</f>
        <v>8.075</v>
      </c>
      <c r="G22" s="171">
        <f>(1000/1000)+4.5*1.35</f>
        <v>7.075</v>
      </c>
      <c r="H22" s="166"/>
      <c r="I22" s="166"/>
    </row>
    <row r="23">
      <c r="A23" s="170" t="s">
        <v>89</v>
      </c>
      <c r="B23" s="171">
        <f>75*1.35</f>
        <v>101.25</v>
      </c>
      <c r="C23" s="171">
        <f t="shared" ref="C23:G23" si="9">74.5*1.35</f>
        <v>100.575</v>
      </c>
      <c r="D23" s="171">
        <f t="shared" si="9"/>
        <v>100.575</v>
      </c>
      <c r="E23" s="171">
        <f t="shared" si="9"/>
        <v>100.575</v>
      </c>
      <c r="F23" s="171">
        <f t="shared" si="9"/>
        <v>100.575</v>
      </c>
      <c r="G23" s="171">
        <f t="shared" si="9"/>
        <v>100.575</v>
      </c>
      <c r="H23" s="166"/>
      <c r="I23" s="166"/>
    </row>
    <row r="24">
      <c r="A24" s="170" t="s">
        <v>60</v>
      </c>
      <c r="B24" s="171">
        <v>10.0</v>
      </c>
      <c r="C24" s="171">
        <v>10.0</v>
      </c>
      <c r="D24" s="171">
        <v>10.0</v>
      </c>
      <c r="E24" s="171">
        <v>10.0</v>
      </c>
      <c r="F24" s="171">
        <v>10.0</v>
      </c>
      <c r="G24" s="171">
        <v>10.0</v>
      </c>
      <c r="H24" s="166"/>
      <c r="I24" s="166"/>
    </row>
    <row r="25">
      <c r="A25" s="172" t="s">
        <v>90</v>
      </c>
      <c r="B25" s="173">
        <f t="shared" ref="B25:G25" si="10">SUM(B16:B24)</f>
        <v>1380.825</v>
      </c>
      <c r="C25" s="173">
        <f t="shared" si="10"/>
        <v>1287.475</v>
      </c>
      <c r="D25" s="173">
        <f t="shared" si="10"/>
        <v>1232.475</v>
      </c>
      <c r="E25" s="173">
        <f t="shared" si="10"/>
        <v>1195.808333</v>
      </c>
      <c r="F25" s="173">
        <f t="shared" si="10"/>
        <v>1078.475</v>
      </c>
      <c r="G25" s="173">
        <f t="shared" si="10"/>
        <v>990.225</v>
      </c>
      <c r="H25" s="166"/>
      <c r="I25" s="166"/>
    </row>
    <row r="26">
      <c r="A26" s="166"/>
      <c r="B26" s="166"/>
      <c r="C26" s="166"/>
      <c r="D26" s="166"/>
      <c r="E26" s="166"/>
      <c r="F26" s="166"/>
      <c r="G26" s="166"/>
      <c r="H26" s="166"/>
      <c r="I26" s="166"/>
    </row>
    <row r="27">
      <c r="A27" s="176" t="s">
        <v>97</v>
      </c>
      <c r="B27" s="166"/>
      <c r="C27" s="166"/>
      <c r="D27" s="166"/>
      <c r="E27" s="166"/>
      <c r="F27" s="166"/>
      <c r="G27" s="166"/>
      <c r="H27" s="166"/>
      <c r="I27" s="166"/>
    </row>
    <row r="28">
      <c r="A28" s="166"/>
      <c r="B28" s="166"/>
      <c r="C28" s="166"/>
      <c r="D28" s="166"/>
      <c r="E28" s="166"/>
      <c r="F28" s="166"/>
      <c r="G28" s="166"/>
      <c r="H28" s="166"/>
      <c r="I28" s="166"/>
    </row>
    <row r="29">
      <c r="A29" s="162" t="s">
        <v>98</v>
      </c>
      <c r="B29" s="164"/>
      <c r="C29" s="164"/>
      <c r="D29" s="164"/>
      <c r="E29" s="164"/>
      <c r="F29" s="164"/>
      <c r="G29" s="164"/>
      <c r="H29" s="166"/>
      <c r="I29" s="166"/>
    </row>
    <row r="30">
      <c r="A30" s="168" t="s">
        <v>99</v>
      </c>
      <c r="B30" s="169" t="s">
        <v>79</v>
      </c>
      <c r="C30" s="169" t="s">
        <v>3</v>
      </c>
      <c r="D30" s="169" t="s">
        <v>4</v>
      </c>
      <c r="E30" s="169" t="s">
        <v>5</v>
      </c>
      <c r="F30" s="169" t="s">
        <v>6</v>
      </c>
      <c r="G30" s="169" t="s">
        <v>80</v>
      </c>
      <c r="H30" s="166"/>
      <c r="I30" s="166"/>
    </row>
    <row r="31">
      <c r="A31" s="170" t="s">
        <v>81</v>
      </c>
      <c r="B31" s="171">
        <v>182.25</v>
      </c>
      <c r="C31" s="171">
        <v>135.0</v>
      </c>
      <c r="D31" s="171">
        <v>130.0</v>
      </c>
      <c r="E31" s="171">
        <v>120.0</v>
      </c>
      <c r="F31" s="171">
        <v>115.0</v>
      </c>
      <c r="G31" s="171">
        <v>105.0</v>
      </c>
      <c r="H31" s="166"/>
      <c r="I31" s="166"/>
    </row>
    <row r="32">
      <c r="A32" s="170" t="s">
        <v>83</v>
      </c>
      <c r="B32" s="171">
        <v>310.0</v>
      </c>
      <c r="C32" s="171">
        <v>290.0</v>
      </c>
      <c r="D32" s="171">
        <v>270.0</v>
      </c>
      <c r="E32" s="171">
        <v>255.0</v>
      </c>
      <c r="F32" s="171">
        <v>240.0</v>
      </c>
      <c r="G32" s="171">
        <v>225.0</v>
      </c>
      <c r="H32" s="166"/>
      <c r="I32" s="166"/>
    </row>
    <row r="33">
      <c r="A33" s="170" t="s">
        <v>100</v>
      </c>
      <c r="B33" s="171" t="str">
        <f>'Себестоимость'!D11*1.35</f>
        <v>#REF!</v>
      </c>
      <c r="C33" s="171" t="str">
        <f>'Себестоимость'!D11*1.35</f>
        <v>#REF!</v>
      </c>
      <c r="D33" s="171" t="str">
        <f>'Себестоимость'!D11*1.35</f>
        <v>#REF!</v>
      </c>
      <c r="E33" s="171" t="str">
        <f>'Себестоимость'!D12*1.35</f>
        <v>#REF!</v>
      </c>
      <c r="F33" s="171" t="str">
        <f>'Себестоимость'!D13*1.35</f>
        <v>#REF!</v>
      </c>
      <c r="G33" s="171" t="str">
        <f>'Себестоимость'!D14*1.35</f>
        <v>#REF!</v>
      </c>
      <c r="H33" s="166"/>
      <c r="I33" s="166"/>
    </row>
    <row r="34">
      <c r="A34" s="170" t="s">
        <v>86</v>
      </c>
      <c r="B34" s="171">
        <f t="shared" ref="B34:G34" si="11">36*1.35</f>
        <v>48.6</v>
      </c>
      <c r="C34" s="171">
        <f t="shared" si="11"/>
        <v>48.6</v>
      </c>
      <c r="D34" s="171">
        <f t="shared" si="11"/>
        <v>48.6</v>
      </c>
      <c r="E34" s="171">
        <f t="shared" si="11"/>
        <v>48.6</v>
      </c>
      <c r="F34" s="171">
        <f t="shared" si="11"/>
        <v>48.6</v>
      </c>
      <c r="G34" s="171">
        <f t="shared" si="11"/>
        <v>48.6</v>
      </c>
      <c r="H34" s="166"/>
      <c r="I34" s="166"/>
    </row>
    <row r="35">
      <c r="A35" s="170" t="s">
        <v>87</v>
      </c>
      <c r="B35" s="171">
        <f t="shared" ref="B35:G35" si="12">15*1.35</f>
        <v>20.25</v>
      </c>
      <c r="C35" s="171">
        <f t="shared" si="12"/>
        <v>20.25</v>
      </c>
      <c r="D35" s="171">
        <f t="shared" si="12"/>
        <v>20.25</v>
      </c>
      <c r="E35" s="171">
        <f t="shared" si="12"/>
        <v>20.25</v>
      </c>
      <c r="F35" s="171">
        <f t="shared" si="12"/>
        <v>20.25</v>
      </c>
      <c r="G35" s="171">
        <f t="shared" si="12"/>
        <v>20.25</v>
      </c>
      <c r="H35" s="166"/>
      <c r="I35" s="166"/>
    </row>
    <row r="36">
      <c r="A36" s="170" t="s">
        <v>88</v>
      </c>
      <c r="B36" s="171">
        <f>(1000/50)+4.5*1.35</f>
        <v>26.075</v>
      </c>
      <c r="C36" s="171">
        <f>(1000/100)+4.5*1.35</f>
        <v>16.075</v>
      </c>
      <c r="D36" s="171">
        <f>(1000/200)+4.5*1.35</f>
        <v>11.075</v>
      </c>
      <c r="E36" s="171">
        <f>(1000/300)+4.5*1.35</f>
        <v>9.408333333</v>
      </c>
      <c r="F36" s="171">
        <f>(1000/500)+4.5*1.35</f>
        <v>8.075</v>
      </c>
      <c r="G36" s="171">
        <f>(1000/1000)+4.5*1.35</f>
        <v>7.075</v>
      </c>
      <c r="H36" s="166"/>
      <c r="I36" s="166"/>
    </row>
    <row r="37">
      <c r="A37" s="170" t="s">
        <v>89</v>
      </c>
      <c r="B37" s="171">
        <f t="shared" ref="B37:G37" si="13">36*1.35</f>
        <v>48.6</v>
      </c>
      <c r="C37" s="171">
        <f t="shared" si="13"/>
        <v>48.6</v>
      </c>
      <c r="D37" s="171">
        <f t="shared" si="13"/>
        <v>48.6</v>
      </c>
      <c r="E37" s="171">
        <f t="shared" si="13"/>
        <v>48.6</v>
      </c>
      <c r="F37" s="171">
        <f t="shared" si="13"/>
        <v>48.6</v>
      </c>
      <c r="G37" s="171">
        <f t="shared" si="13"/>
        <v>48.6</v>
      </c>
      <c r="H37" s="166"/>
      <c r="I37" s="166"/>
    </row>
    <row r="38">
      <c r="A38" s="170" t="s">
        <v>60</v>
      </c>
      <c r="B38" s="171">
        <v>10.0</v>
      </c>
      <c r="C38" s="171">
        <v>10.0</v>
      </c>
      <c r="D38" s="171">
        <v>10.0</v>
      </c>
      <c r="E38" s="171">
        <v>10.0</v>
      </c>
      <c r="F38" s="171">
        <v>10.0</v>
      </c>
      <c r="G38" s="171">
        <v>10.0</v>
      </c>
      <c r="H38" s="166"/>
      <c r="I38" s="166"/>
    </row>
    <row r="39">
      <c r="A39" s="172" t="s">
        <v>90</v>
      </c>
      <c r="B39" s="173" t="str">
        <f t="shared" ref="B39:G39" si="14">SUM(B31:B38)</f>
        <v>#REF!</v>
      </c>
      <c r="C39" s="173" t="str">
        <f t="shared" si="14"/>
        <v>#REF!</v>
      </c>
      <c r="D39" s="173" t="str">
        <f t="shared" si="14"/>
        <v>#REF!</v>
      </c>
      <c r="E39" s="173" t="str">
        <f t="shared" si="14"/>
        <v>#REF!</v>
      </c>
      <c r="F39" s="173" t="str">
        <f t="shared" si="14"/>
        <v>#REF!</v>
      </c>
      <c r="G39" s="173" t="str">
        <f t="shared" si="14"/>
        <v>#REF!</v>
      </c>
      <c r="H39" s="166"/>
      <c r="I39" s="166"/>
    </row>
    <row r="40">
      <c r="A40" s="166"/>
      <c r="B40" s="166"/>
      <c r="C40" s="166"/>
      <c r="D40" s="166"/>
      <c r="E40" s="166"/>
      <c r="F40" s="166"/>
      <c r="G40" s="166"/>
      <c r="H40" s="166"/>
      <c r="I40" s="166"/>
    </row>
    <row r="41">
      <c r="A41" s="162" t="s">
        <v>102</v>
      </c>
      <c r="B41" s="164"/>
      <c r="C41" s="164"/>
      <c r="D41" s="164"/>
      <c r="E41" s="164"/>
      <c r="F41" s="164"/>
      <c r="G41" s="164"/>
      <c r="H41" s="166"/>
      <c r="I41" s="166"/>
    </row>
    <row r="42">
      <c r="A42" s="168" t="s">
        <v>99</v>
      </c>
      <c r="B42" s="169" t="s">
        <v>79</v>
      </c>
      <c r="C42" s="169" t="s">
        <v>3</v>
      </c>
      <c r="D42" s="169" t="s">
        <v>4</v>
      </c>
      <c r="E42" s="169" t="s">
        <v>5</v>
      </c>
      <c r="F42" s="169" t="s">
        <v>6</v>
      </c>
      <c r="G42" s="169" t="s">
        <v>80</v>
      </c>
      <c r="H42" s="166"/>
      <c r="I42" s="166"/>
    </row>
    <row r="43">
      <c r="A43" s="170" t="s">
        <v>103</v>
      </c>
      <c r="B43" s="171">
        <v>255.0</v>
      </c>
      <c r="C43" s="171">
        <v>190.0</v>
      </c>
      <c r="D43" s="171">
        <v>110.0</v>
      </c>
      <c r="E43" s="171">
        <v>105.0</v>
      </c>
      <c r="F43" s="171">
        <v>100.0</v>
      </c>
      <c r="G43" s="171">
        <v>90.0</v>
      </c>
      <c r="H43" s="166"/>
      <c r="I43" s="166"/>
    </row>
    <row r="44">
      <c r="A44" s="170" t="s">
        <v>95</v>
      </c>
      <c r="B44" s="171">
        <v>295.0</v>
      </c>
      <c r="C44" s="171">
        <v>240.0</v>
      </c>
      <c r="D44" s="171">
        <v>255.0</v>
      </c>
      <c r="E44" s="171">
        <v>240.0</v>
      </c>
      <c r="F44" s="171">
        <v>225.0</v>
      </c>
      <c r="G44" s="171">
        <v>210.0</v>
      </c>
      <c r="H44" s="166"/>
      <c r="I44" s="166"/>
    </row>
    <row r="45">
      <c r="A45" s="170" t="s">
        <v>100</v>
      </c>
      <c r="B45" s="171">
        <v>285.0</v>
      </c>
      <c r="C45" s="171">
        <v>285.0</v>
      </c>
      <c r="D45" s="171" t="str">
        <f>'Себестоимость'!D11*1.35</f>
        <v>#REF!</v>
      </c>
      <c r="E45" s="171" t="str">
        <f>'Себестоимость'!D11*1.35</f>
        <v>#REF!</v>
      </c>
      <c r="F45" s="171" t="str">
        <f>'Себестоимость'!D13*1.35</f>
        <v>#REF!</v>
      </c>
      <c r="G45" s="171" t="str">
        <f>'Себестоимость'!D14*1.35</f>
        <v>#REF!</v>
      </c>
      <c r="H45" s="166"/>
      <c r="I45" s="166"/>
    </row>
    <row r="46">
      <c r="A46" s="170" t="s">
        <v>86</v>
      </c>
      <c r="B46" s="171">
        <f t="shared" ref="B46:G46" si="15">36*1.35</f>
        <v>48.6</v>
      </c>
      <c r="C46" s="171">
        <f t="shared" si="15"/>
        <v>48.6</v>
      </c>
      <c r="D46" s="171">
        <f t="shared" si="15"/>
        <v>48.6</v>
      </c>
      <c r="E46" s="171">
        <f t="shared" si="15"/>
        <v>48.6</v>
      </c>
      <c r="F46" s="171">
        <f t="shared" si="15"/>
        <v>48.6</v>
      </c>
      <c r="G46" s="171">
        <f t="shared" si="15"/>
        <v>48.6</v>
      </c>
      <c r="H46" s="166"/>
      <c r="I46" s="166"/>
    </row>
    <row r="47">
      <c r="A47" s="170" t="s">
        <v>87</v>
      </c>
      <c r="B47" s="171">
        <f t="shared" ref="B47:G47" si="16">15*1.35</f>
        <v>20.25</v>
      </c>
      <c r="C47" s="171">
        <f t="shared" si="16"/>
        <v>20.25</v>
      </c>
      <c r="D47" s="171">
        <f t="shared" si="16"/>
        <v>20.25</v>
      </c>
      <c r="E47" s="171">
        <f t="shared" si="16"/>
        <v>20.25</v>
      </c>
      <c r="F47" s="171">
        <f t="shared" si="16"/>
        <v>20.25</v>
      </c>
      <c r="G47" s="171">
        <f t="shared" si="16"/>
        <v>20.25</v>
      </c>
      <c r="H47" s="166"/>
      <c r="I47" s="166"/>
    </row>
    <row r="48">
      <c r="A48" s="170" t="s">
        <v>88</v>
      </c>
      <c r="B48" s="171">
        <f>(1000/50)+4.5*1.35</f>
        <v>26.075</v>
      </c>
      <c r="C48" s="171">
        <f>(1000/100)+4.5*1.35</f>
        <v>16.075</v>
      </c>
      <c r="D48" s="171">
        <f>(1000/200)+4.5*1.35</f>
        <v>11.075</v>
      </c>
      <c r="E48" s="171">
        <f>(1000/300)+4.5*1.35</f>
        <v>9.408333333</v>
      </c>
      <c r="F48" s="171">
        <f>(1000/500)+4.5*1.35</f>
        <v>8.075</v>
      </c>
      <c r="G48" s="171">
        <f>(1000/1000)+4.5*1.35</f>
        <v>7.075</v>
      </c>
      <c r="H48" s="166"/>
      <c r="I48" s="166"/>
    </row>
    <row r="49">
      <c r="A49" s="170" t="s">
        <v>89</v>
      </c>
      <c r="B49" s="171">
        <f t="shared" ref="B49:G49" si="17">36*1.35</f>
        <v>48.6</v>
      </c>
      <c r="C49" s="171">
        <f t="shared" si="17"/>
        <v>48.6</v>
      </c>
      <c r="D49" s="171">
        <f t="shared" si="17"/>
        <v>48.6</v>
      </c>
      <c r="E49" s="171">
        <f t="shared" si="17"/>
        <v>48.6</v>
      </c>
      <c r="F49" s="171">
        <f t="shared" si="17"/>
        <v>48.6</v>
      </c>
      <c r="G49" s="171">
        <f t="shared" si="17"/>
        <v>48.6</v>
      </c>
      <c r="H49" s="166"/>
      <c r="I49" s="166"/>
    </row>
    <row r="50">
      <c r="A50" s="170" t="s">
        <v>60</v>
      </c>
      <c r="B50" s="171">
        <v>10.0</v>
      </c>
      <c r="C50" s="171">
        <v>10.0</v>
      </c>
      <c r="D50" s="171">
        <v>10.0</v>
      </c>
      <c r="E50" s="171">
        <v>10.0</v>
      </c>
      <c r="F50" s="171">
        <v>10.0</v>
      </c>
      <c r="G50" s="171">
        <v>10.0</v>
      </c>
      <c r="H50" s="166"/>
      <c r="I50" s="166"/>
    </row>
    <row r="51">
      <c r="A51" s="172" t="s">
        <v>90</v>
      </c>
      <c r="B51" s="173">
        <f t="shared" ref="B51:G51" si="18">SUM(B43:B50)</f>
        <v>988.525</v>
      </c>
      <c r="C51" s="173">
        <f t="shared" si="18"/>
        <v>858.525</v>
      </c>
      <c r="D51" s="173" t="str">
        <f t="shared" si="18"/>
        <v>#REF!</v>
      </c>
      <c r="E51" s="173" t="str">
        <f t="shared" si="18"/>
        <v>#REF!</v>
      </c>
      <c r="F51" s="173" t="str">
        <f t="shared" si="18"/>
        <v>#REF!</v>
      </c>
      <c r="G51" s="173" t="str">
        <f t="shared" si="18"/>
        <v>#REF!</v>
      </c>
      <c r="H51" s="166"/>
      <c r="I51" s="166"/>
    </row>
    <row r="52">
      <c r="A52" s="166"/>
      <c r="B52" s="166"/>
      <c r="C52" s="166"/>
      <c r="D52" s="166"/>
      <c r="E52" s="166"/>
      <c r="F52" s="166"/>
      <c r="G52" s="166"/>
      <c r="H52" s="166"/>
      <c r="I52" s="166"/>
    </row>
    <row r="53">
      <c r="A53" s="177" t="s">
        <v>97</v>
      </c>
      <c r="B53" s="166"/>
      <c r="C53" s="166"/>
      <c r="D53" s="166"/>
      <c r="E53" s="166"/>
      <c r="F53" s="166"/>
      <c r="G53" s="166"/>
      <c r="H53" s="166"/>
      <c r="I53" s="166"/>
    </row>
    <row r="54">
      <c r="A54" s="166"/>
      <c r="B54" s="166"/>
      <c r="C54" s="166"/>
      <c r="D54" s="166"/>
      <c r="E54" s="166"/>
      <c r="F54" s="166"/>
      <c r="G54" s="166"/>
      <c r="H54" s="166"/>
      <c r="I54" s="166"/>
    </row>
    <row r="55">
      <c r="A55" s="166"/>
      <c r="B55" s="166"/>
      <c r="C55" s="166"/>
      <c r="D55" s="166"/>
      <c r="E55" s="166"/>
      <c r="F55" s="166"/>
      <c r="G55" s="166"/>
      <c r="H55" s="166"/>
      <c r="I55" s="166"/>
    </row>
    <row r="56">
      <c r="A56" s="166"/>
      <c r="B56" s="166"/>
      <c r="C56" s="166"/>
      <c r="D56" s="166"/>
      <c r="E56" s="166"/>
      <c r="F56" s="166"/>
      <c r="G56" s="166"/>
      <c r="H56" s="166"/>
      <c r="I56" s="166"/>
    </row>
    <row r="57">
      <c r="A57" s="178" t="s">
        <v>106</v>
      </c>
      <c r="B57" s="179"/>
      <c r="C57" s="179"/>
      <c r="D57" s="179"/>
      <c r="E57" s="179"/>
      <c r="F57" s="179"/>
      <c r="G57" s="179"/>
      <c r="H57" s="166"/>
      <c r="I57" s="166"/>
    </row>
    <row r="58">
      <c r="A58" s="168" t="s">
        <v>78</v>
      </c>
      <c r="B58" s="169" t="s">
        <v>79</v>
      </c>
      <c r="C58" s="169" t="s">
        <v>3</v>
      </c>
      <c r="D58" s="169" t="s">
        <v>4</v>
      </c>
      <c r="E58" s="169" t="s">
        <v>5</v>
      </c>
      <c r="F58" s="169" t="s">
        <v>6</v>
      </c>
      <c r="G58" s="169" t="s">
        <v>80</v>
      </c>
      <c r="H58" s="166"/>
      <c r="I58" s="166"/>
    </row>
    <row r="59">
      <c r="A59" s="170" t="s">
        <v>107</v>
      </c>
      <c r="B59" s="171">
        <v>237.0</v>
      </c>
      <c r="C59" s="171">
        <v>175.0</v>
      </c>
      <c r="D59" s="171">
        <v>170.0</v>
      </c>
      <c r="E59" s="171">
        <v>165.0</v>
      </c>
      <c r="F59" s="171">
        <v>160.0</v>
      </c>
      <c r="G59" s="171">
        <v>150.0</v>
      </c>
      <c r="H59" s="166"/>
      <c r="I59" s="166"/>
    </row>
    <row r="60">
      <c r="A60" s="170" t="s">
        <v>34</v>
      </c>
      <c r="B60" s="171">
        <f>B4</f>
        <v>345</v>
      </c>
      <c r="C60" s="171">
        <v>325.0</v>
      </c>
      <c r="D60" s="171">
        <v>305.0</v>
      </c>
      <c r="E60" s="171">
        <v>290.0</v>
      </c>
      <c r="F60" s="171">
        <v>275.0</v>
      </c>
      <c r="G60" s="171">
        <v>260.0</v>
      </c>
      <c r="H60" s="166"/>
      <c r="I60" s="166"/>
    </row>
    <row r="61">
      <c r="A61" s="170" t="s">
        <v>43</v>
      </c>
      <c r="B61" s="171">
        <v>140.0</v>
      </c>
      <c r="C61" s="171">
        <v>135.0</v>
      </c>
      <c r="D61" s="171">
        <v>130.0</v>
      </c>
      <c r="E61" s="171">
        <v>125.0</v>
      </c>
      <c r="F61" s="171">
        <v>115.0</v>
      </c>
      <c r="G61" s="171">
        <v>105.0</v>
      </c>
      <c r="H61" s="166"/>
      <c r="I61" s="166"/>
    </row>
    <row r="62">
      <c r="A62" s="170" t="s">
        <v>108</v>
      </c>
      <c r="B62" s="171">
        <f t="shared" ref="B62:E62" si="19">300*1.35</f>
        <v>405</v>
      </c>
      <c r="C62" s="171">
        <f t="shared" si="19"/>
        <v>405</v>
      </c>
      <c r="D62" s="171">
        <f t="shared" si="19"/>
        <v>405</v>
      </c>
      <c r="E62" s="171">
        <f t="shared" si="19"/>
        <v>405</v>
      </c>
      <c r="F62" s="171">
        <f>240*1.35</f>
        <v>324</v>
      </c>
      <c r="G62" s="171">
        <f>205*1.35</f>
        <v>276.75</v>
      </c>
      <c r="H62" s="166"/>
      <c r="I62" s="166"/>
    </row>
    <row r="63">
      <c r="A63" s="170" t="s">
        <v>86</v>
      </c>
      <c r="B63" s="171">
        <f>75*1.35</f>
        <v>101.25</v>
      </c>
      <c r="C63" s="171">
        <f t="shared" ref="C63:G63" si="20">74.5*1.35</f>
        <v>100.575</v>
      </c>
      <c r="D63" s="171">
        <f t="shared" si="20"/>
        <v>100.575</v>
      </c>
      <c r="E63" s="171">
        <f t="shared" si="20"/>
        <v>100.575</v>
      </c>
      <c r="F63" s="171">
        <f t="shared" si="20"/>
        <v>100.575</v>
      </c>
      <c r="G63" s="171">
        <f t="shared" si="20"/>
        <v>100.575</v>
      </c>
      <c r="H63" s="166"/>
      <c r="I63" s="166"/>
    </row>
    <row r="64">
      <c r="A64" s="170" t="s">
        <v>87</v>
      </c>
      <c r="B64" s="171">
        <f t="shared" ref="B64:G64" si="21">15*1.35</f>
        <v>20.25</v>
      </c>
      <c r="C64" s="171">
        <f t="shared" si="21"/>
        <v>20.25</v>
      </c>
      <c r="D64" s="171">
        <f t="shared" si="21"/>
        <v>20.25</v>
      </c>
      <c r="E64" s="171">
        <f t="shared" si="21"/>
        <v>20.25</v>
      </c>
      <c r="F64" s="171">
        <f t="shared" si="21"/>
        <v>20.25</v>
      </c>
      <c r="G64" s="171">
        <f t="shared" si="21"/>
        <v>20.25</v>
      </c>
      <c r="H64" s="166"/>
      <c r="I64" s="166"/>
    </row>
    <row r="65">
      <c r="A65" s="170" t="s">
        <v>88</v>
      </c>
      <c r="B65" s="171">
        <f>(1000/50)+4.5*1.35</f>
        <v>26.075</v>
      </c>
      <c r="C65" s="171">
        <f>(1000/100)+4.5*1.35</f>
        <v>16.075</v>
      </c>
      <c r="D65" s="171">
        <f>(1000/200)+4.5*1.35</f>
        <v>11.075</v>
      </c>
      <c r="E65" s="171">
        <f>(1000/300)+4.5*1.35</f>
        <v>9.408333333</v>
      </c>
      <c r="F65" s="171">
        <f>(1000/500)+4.5*1.35</f>
        <v>8.075</v>
      </c>
      <c r="G65" s="171">
        <f>(1000/1000)+4.5*1.35</f>
        <v>7.075</v>
      </c>
      <c r="H65" s="166"/>
      <c r="I65" s="166"/>
    </row>
    <row r="66">
      <c r="A66" s="170" t="s">
        <v>89</v>
      </c>
      <c r="B66" s="171">
        <f>75*1.35</f>
        <v>101.25</v>
      </c>
      <c r="C66" s="171">
        <f t="shared" ref="C66:G66" si="22">74.5*1.35</f>
        <v>100.575</v>
      </c>
      <c r="D66" s="171">
        <f t="shared" si="22"/>
        <v>100.575</v>
      </c>
      <c r="E66" s="171">
        <f t="shared" si="22"/>
        <v>100.575</v>
      </c>
      <c r="F66" s="171">
        <f t="shared" si="22"/>
        <v>100.575</v>
      </c>
      <c r="G66" s="171">
        <f t="shared" si="22"/>
        <v>100.575</v>
      </c>
      <c r="H66" s="166"/>
      <c r="I66" s="166"/>
    </row>
    <row r="67">
      <c r="A67" s="170" t="s">
        <v>60</v>
      </c>
      <c r="B67" s="171">
        <v>10.0</v>
      </c>
      <c r="C67" s="171">
        <v>10.0</v>
      </c>
      <c r="D67" s="171">
        <v>10.0</v>
      </c>
      <c r="E67" s="171">
        <v>10.0</v>
      </c>
      <c r="F67" s="171">
        <v>10.0</v>
      </c>
      <c r="G67" s="171">
        <v>10.0</v>
      </c>
      <c r="H67" s="166"/>
      <c r="I67" s="166"/>
    </row>
    <row r="68">
      <c r="A68" s="166"/>
      <c r="B68" s="181">
        <f t="shared" ref="B68:G68" si="23">SUM(B59:B67)</f>
        <v>1385.825</v>
      </c>
      <c r="C68" s="181">
        <f t="shared" si="23"/>
        <v>1287.475</v>
      </c>
      <c r="D68" s="181">
        <f t="shared" si="23"/>
        <v>1252.475</v>
      </c>
      <c r="E68" s="181">
        <f t="shared" si="23"/>
        <v>1225.808333</v>
      </c>
      <c r="F68" s="181">
        <f t="shared" si="23"/>
        <v>1113.475</v>
      </c>
      <c r="G68" s="181">
        <f t="shared" si="23"/>
        <v>1030.225</v>
      </c>
      <c r="H68" s="166"/>
      <c r="I68" s="166"/>
    </row>
    <row r="69">
      <c r="A69" s="166"/>
      <c r="B69" s="166"/>
      <c r="C69" s="166"/>
      <c r="D69" s="166"/>
      <c r="E69" s="166"/>
      <c r="F69" s="166"/>
      <c r="G69" s="166"/>
      <c r="H69" s="166"/>
      <c r="I69" s="166"/>
    </row>
    <row r="70">
      <c r="A70" s="178" t="s">
        <v>110</v>
      </c>
      <c r="B70" s="179"/>
      <c r="C70" s="179"/>
      <c r="D70" s="179"/>
      <c r="E70" s="179"/>
      <c r="F70" s="179"/>
      <c r="G70" s="179"/>
      <c r="H70" s="166"/>
      <c r="I70" s="166"/>
    </row>
    <row r="71">
      <c r="A71" s="168" t="s">
        <v>78</v>
      </c>
      <c r="B71" s="169" t="s">
        <v>79</v>
      </c>
      <c r="C71" s="169" t="s">
        <v>3</v>
      </c>
      <c r="D71" s="169" t="s">
        <v>4</v>
      </c>
      <c r="E71" s="169" t="s">
        <v>5</v>
      </c>
      <c r="F71" s="169" t="s">
        <v>6</v>
      </c>
      <c r="G71" s="169" t="s">
        <v>80</v>
      </c>
      <c r="H71" s="166"/>
      <c r="I71" s="166"/>
    </row>
    <row r="72">
      <c r="A72" s="170" t="str">
        <f>IFERROR(__xludf.DUMMYFUNCTION("IMPORTRANGE(""1HkzfTg_x2lNlvG_oAmvAnugODRXnepM3bnsrF1TbIKU"", ""Папки и изделия экокожа!b40:h40"")"),"Обложка для автодокументов искусственная кожа с персонализацией, дополнительные отделения, 135х195 мм")</f>
        <v>Обложка для автодокументов искусственная кожа с персонализацией, дополнительные отделения, 135х195 мм</v>
      </c>
      <c r="B72" s="182">
        <f>IFERROR(__xludf.DUMMYFUNCTION("""COMPUTED_VALUE"""),300.0)</f>
        <v>300</v>
      </c>
      <c r="C72" s="182">
        <f>IFERROR(__xludf.DUMMYFUNCTION("""COMPUTED_VALUE"""),280.0)</f>
        <v>280</v>
      </c>
      <c r="D72" s="182">
        <f>IFERROR(__xludf.DUMMYFUNCTION("""COMPUTED_VALUE"""),260.0)</f>
        <v>260</v>
      </c>
      <c r="E72" s="182">
        <f>IFERROR(__xludf.DUMMYFUNCTION("""COMPUTED_VALUE"""),245.0)</f>
        <v>245</v>
      </c>
      <c r="F72" s="182">
        <f>IFERROR(__xludf.DUMMYFUNCTION("""COMPUTED_VALUE"""),230.0)</f>
        <v>230</v>
      </c>
      <c r="G72" s="182">
        <f>IFERROR(__xludf.DUMMYFUNCTION("""COMPUTED_VALUE"""),215.0)</f>
        <v>215</v>
      </c>
      <c r="H72" s="166"/>
      <c r="I72" s="166"/>
    </row>
    <row r="73">
      <c r="A73" s="170" t="s">
        <v>94</v>
      </c>
      <c r="B73" s="171">
        <v>295.0</v>
      </c>
      <c r="C73" s="171">
        <v>275.0</v>
      </c>
      <c r="D73" s="171">
        <v>255.0</v>
      </c>
      <c r="E73" s="171">
        <v>240.0</v>
      </c>
      <c r="F73" s="171">
        <v>225.0</v>
      </c>
      <c r="G73" s="171">
        <v>210.0</v>
      </c>
      <c r="H73" s="166"/>
      <c r="I73" s="166"/>
    </row>
    <row r="74">
      <c r="A74" s="170" t="str">
        <f>IFERROR(__xludf.DUMMYFUNCTION("IMPORTRANGE(""1HkzfTg_x2lNlvG_oAmvAnugODRXnepM3bnsrF1TbIKU"", ""Чехлы и футляры экокожа!b16:h16"")"),"Футляр для кредитных карт с тремя карманами, RFID блокиратор, экокожа с персонализацией")</f>
        <v>Футляр для кредитных карт с тремя карманами, RFID блокиратор, экокожа с персонализацией</v>
      </c>
      <c r="B74" s="182">
        <f>IFERROR(__xludf.DUMMYFUNCTION("""COMPUTED_VALUE"""),180.0)</f>
        <v>180</v>
      </c>
      <c r="C74" s="182">
        <f>IFERROR(__xludf.DUMMYFUNCTION("""COMPUTED_VALUE"""),175.0)</f>
        <v>175</v>
      </c>
      <c r="D74" s="182">
        <f>IFERROR(__xludf.DUMMYFUNCTION("""COMPUTED_VALUE"""),170.0)</f>
        <v>170</v>
      </c>
      <c r="E74" s="182">
        <f>IFERROR(__xludf.DUMMYFUNCTION("""COMPUTED_VALUE"""),165.0)</f>
        <v>165</v>
      </c>
      <c r="F74" s="182">
        <f>IFERROR(__xludf.DUMMYFUNCTION("""COMPUTED_VALUE"""),155.0)</f>
        <v>155</v>
      </c>
      <c r="G74" s="182">
        <f>IFERROR(__xludf.DUMMYFUNCTION("""COMPUTED_VALUE"""),150.0)</f>
        <v>150</v>
      </c>
      <c r="H74" s="166"/>
      <c r="I74" s="166"/>
    </row>
    <row r="75">
      <c r="A75" s="170" t="s">
        <v>112</v>
      </c>
      <c r="B75" s="171">
        <f t="shared" ref="B75:E75" si="24">300*1.35</f>
        <v>405</v>
      </c>
      <c r="C75" s="171">
        <f t="shared" si="24"/>
        <v>405</v>
      </c>
      <c r="D75" s="171">
        <f t="shared" si="24"/>
        <v>405</v>
      </c>
      <c r="E75" s="171">
        <f t="shared" si="24"/>
        <v>405</v>
      </c>
      <c r="F75" s="171">
        <f>240*1.35</f>
        <v>324</v>
      </c>
      <c r="G75" s="171">
        <f>205*1.35</f>
        <v>276.75</v>
      </c>
      <c r="H75" s="166"/>
      <c r="I75" s="166"/>
    </row>
    <row r="76">
      <c r="A76" s="170" t="s">
        <v>86</v>
      </c>
      <c r="B76" s="171">
        <f>75*1.35</f>
        <v>101.25</v>
      </c>
      <c r="C76" s="171">
        <f t="shared" ref="C76:G76" si="25">74.5*1.35</f>
        <v>100.575</v>
      </c>
      <c r="D76" s="171">
        <f t="shared" si="25"/>
        <v>100.575</v>
      </c>
      <c r="E76" s="171">
        <f t="shared" si="25"/>
        <v>100.575</v>
      </c>
      <c r="F76" s="171">
        <f t="shared" si="25"/>
        <v>100.575</v>
      </c>
      <c r="G76" s="171">
        <f t="shared" si="25"/>
        <v>100.575</v>
      </c>
      <c r="H76" s="166"/>
      <c r="I76" s="166"/>
    </row>
    <row r="77">
      <c r="A77" s="170" t="s">
        <v>87</v>
      </c>
      <c r="B77" s="171">
        <f t="shared" ref="B77:G77" si="26">15*1.35</f>
        <v>20.25</v>
      </c>
      <c r="C77" s="171">
        <f t="shared" si="26"/>
        <v>20.25</v>
      </c>
      <c r="D77" s="171">
        <f t="shared" si="26"/>
        <v>20.25</v>
      </c>
      <c r="E77" s="171">
        <f t="shared" si="26"/>
        <v>20.25</v>
      </c>
      <c r="F77" s="171">
        <f t="shared" si="26"/>
        <v>20.25</v>
      </c>
      <c r="G77" s="171">
        <f t="shared" si="26"/>
        <v>20.25</v>
      </c>
      <c r="H77" s="166"/>
      <c r="I77" s="166"/>
    </row>
    <row r="78">
      <c r="A78" s="170" t="s">
        <v>88</v>
      </c>
      <c r="B78" s="171">
        <f>(1000/50)+4.5*1.35</f>
        <v>26.075</v>
      </c>
      <c r="C78" s="171">
        <f>(1000/100)+4.5*1.35</f>
        <v>16.075</v>
      </c>
      <c r="D78" s="171">
        <f>(1000/200)+4.5*1.35</f>
        <v>11.075</v>
      </c>
      <c r="E78" s="171">
        <f>(1000/300)+4.5*1.35</f>
        <v>9.408333333</v>
      </c>
      <c r="F78" s="171">
        <f>(1000/500)+4.5*1.35</f>
        <v>8.075</v>
      </c>
      <c r="G78" s="171">
        <f>(1000/1000)+4.5*1.35</f>
        <v>7.075</v>
      </c>
      <c r="H78" s="166"/>
      <c r="I78" s="166"/>
    </row>
    <row r="79">
      <c r="A79" s="170" t="s">
        <v>89</v>
      </c>
      <c r="B79" s="171">
        <f>75*1.35</f>
        <v>101.25</v>
      </c>
      <c r="C79" s="171">
        <f t="shared" ref="C79:G79" si="27">74.5*1.35</f>
        <v>100.575</v>
      </c>
      <c r="D79" s="171">
        <f t="shared" si="27"/>
        <v>100.575</v>
      </c>
      <c r="E79" s="171">
        <f t="shared" si="27"/>
        <v>100.575</v>
      </c>
      <c r="F79" s="171">
        <f t="shared" si="27"/>
        <v>100.575</v>
      </c>
      <c r="G79" s="171">
        <f t="shared" si="27"/>
        <v>100.575</v>
      </c>
      <c r="H79" s="166"/>
      <c r="I79" s="166"/>
    </row>
    <row r="80">
      <c r="A80" s="170" t="s">
        <v>60</v>
      </c>
      <c r="B80" s="171">
        <v>10.0</v>
      </c>
      <c r="C80" s="171">
        <v>10.0</v>
      </c>
      <c r="D80" s="171">
        <v>10.0</v>
      </c>
      <c r="E80" s="171">
        <v>10.0</v>
      </c>
      <c r="F80" s="171">
        <v>10.0</v>
      </c>
      <c r="G80" s="171">
        <v>10.0</v>
      </c>
      <c r="H80" s="166"/>
      <c r="I80" s="166"/>
    </row>
    <row r="81">
      <c r="A81" s="166"/>
      <c r="B81" s="181">
        <f>SUM(B72:B80)</f>
        <v>1438.825</v>
      </c>
      <c r="C81" s="166"/>
      <c r="D81" s="166"/>
      <c r="E81" s="166"/>
      <c r="F81" s="166"/>
      <c r="G81" s="166"/>
      <c r="H81" s="166"/>
      <c r="I81" s="166"/>
    </row>
    <row r="82">
      <c r="A82" s="166"/>
      <c r="B82" s="166"/>
      <c r="C82" s="166"/>
      <c r="D82" s="166"/>
      <c r="E82" s="166"/>
      <c r="F82" s="166"/>
      <c r="G82" s="166"/>
      <c r="H82" s="166"/>
      <c r="I82" s="166"/>
    </row>
    <row r="83">
      <c r="A83" s="166"/>
      <c r="B83" s="166"/>
      <c r="C83" s="166"/>
      <c r="D83" s="166"/>
      <c r="E83" s="166"/>
      <c r="F83" s="166"/>
      <c r="G83" s="166"/>
      <c r="H83" s="166"/>
      <c r="I83" s="166"/>
    </row>
    <row r="84">
      <c r="A84" s="166"/>
      <c r="B84" s="166"/>
      <c r="C84" s="166"/>
      <c r="D84" s="166"/>
      <c r="E84" s="166"/>
      <c r="F84" s="166"/>
      <c r="G84" s="166"/>
      <c r="H84" s="166"/>
      <c r="I84" s="166"/>
    </row>
    <row r="85">
      <c r="A85" s="166"/>
      <c r="B85" s="166"/>
      <c r="C85" s="166"/>
      <c r="D85" s="166"/>
      <c r="E85" s="166"/>
      <c r="F85" s="166"/>
      <c r="G85" s="166"/>
      <c r="H85" s="166"/>
      <c r="I85" s="166"/>
    </row>
    <row r="86">
      <c r="A86" s="183"/>
      <c r="B86" s="183"/>
      <c r="C86" s="183"/>
      <c r="D86" s="183"/>
      <c r="E86" s="183"/>
      <c r="F86" s="183"/>
      <c r="G86" s="183"/>
      <c r="H86" s="183"/>
      <c r="I86" s="183"/>
    </row>
    <row r="87">
      <c r="A87" s="166"/>
      <c r="B87" s="166"/>
      <c r="C87" s="166"/>
      <c r="D87" s="166"/>
      <c r="E87" s="166"/>
      <c r="F87" s="166"/>
      <c r="G87" s="166"/>
      <c r="H87" s="166"/>
      <c r="I87" s="166"/>
    </row>
    <row r="88">
      <c r="A88" s="184" t="s">
        <v>115</v>
      </c>
      <c r="B88" s="166"/>
      <c r="C88" s="166"/>
      <c r="D88" s="166"/>
      <c r="E88" s="166"/>
      <c r="F88" s="166"/>
      <c r="G88" s="166"/>
      <c r="H88" s="166"/>
      <c r="I88" s="166"/>
    </row>
    <row r="89">
      <c r="A89" s="162" t="s">
        <v>74</v>
      </c>
      <c r="B89" s="164"/>
      <c r="C89" s="164"/>
      <c r="D89" s="164"/>
      <c r="E89" s="164"/>
      <c r="F89" s="164"/>
      <c r="G89" s="164"/>
      <c r="H89" s="166"/>
      <c r="I89" s="166"/>
    </row>
    <row r="90">
      <c r="A90" s="168" t="s">
        <v>78</v>
      </c>
      <c r="B90" s="169" t="s">
        <v>79</v>
      </c>
      <c r="C90" s="169" t="s">
        <v>3</v>
      </c>
      <c r="D90" s="169" t="s">
        <v>4</v>
      </c>
      <c r="E90" s="169" t="s">
        <v>5</v>
      </c>
      <c r="F90" s="169" t="s">
        <v>6</v>
      </c>
      <c r="G90" s="169" t="s">
        <v>80</v>
      </c>
      <c r="H90" s="166"/>
      <c r="I90" s="166"/>
    </row>
    <row r="91">
      <c r="A91" s="170" t="s">
        <v>81</v>
      </c>
      <c r="B91" s="171">
        <v>182.25</v>
      </c>
      <c r="C91" s="171">
        <v>135.0</v>
      </c>
      <c r="D91" s="171">
        <v>130.0</v>
      </c>
      <c r="E91" s="171">
        <v>120.0</v>
      </c>
      <c r="F91" s="171">
        <v>115.0</v>
      </c>
      <c r="G91" s="171">
        <v>105.0</v>
      </c>
      <c r="H91" s="166"/>
      <c r="I91" s="166"/>
    </row>
    <row r="92">
      <c r="A92" s="170" t="s">
        <v>82</v>
      </c>
      <c r="B92" s="171">
        <v>345.0</v>
      </c>
      <c r="C92" s="171">
        <v>325.0</v>
      </c>
      <c r="D92" s="171">
        <v>305.0</v>
      </c>
      <c r="E92" s="171">
        <v>290.0</v>
      </c>
      <c r="F92" s="171">
        <v>275.0</v>
      </c>
      <c r="G92" s="171">
        <v>260.0</v>
      </c>
      <c r="H92" s="166"/>
      <c r="I92" s="166"/>
    </row>
    <row r="93">
      <c r="A93" s="170" t="s">
        <v>83</v>
      </c>
      <c r="B93" s="171">
        <v>310.0</v>
      </c>
      <c r="C93" s="171">
        <v>290.0</v>
      </c>
      <c r="D93" s="171">
        <v>270.0</v>
      </c>
      <c r="E93" s="171">
        <v>255.0</v>
      </c>
      <c r="F93" s="171">
        <v>240.0</v>
      </c>
      <c r="G93" s="171">
        <v>225.0</v>
      </c>
      <c r="H93" s="166"/>
      <c r="I93" s="166"/>
    </row>
    <row r="94">
      <c r="A94" s="170" t="s">
        <v>84</v>
      </c>
      <c r="B94" s="171">
        <f t="shared" ref="B94:E94" si="28">300*1.35</f>
        <v>405</v>
      </c>
      <c r="C94" s="171">
        <f t="shared" si="28"/>
        <v>405</v>
      </c>
      <c r="D94" s="171">
        <f t="shared" si="28"/>
        <v>405</v>
      </c>
      <c r="E94" s="171">
        <f t="shared" si="28"/>
        <v>405</v>
      </c>
      <c r="F94" s="171">
        <f>240*1.35</f>
        <v>324</v>
      </c>
      <c r="G94" s="171">
        <f>205*1.35</f>
        <v>276.75</v>
      </c>
      <c r="H94" s="166"/>
      <c r="I94" s="166"/>
    </row>
    <row r="95">
      <c r="A95" s="170" t="s">
        <v>117</v>
      </c>
      <c r="B95" s="171">
        <f t="shared" ref="B95:G95" si="29">(7.4*2)*1.7</f>
        <v>25.16</v>
      </c>
      <c r="C95" s="171">
        <f t="shared" si="29"/>
        <v>25.16</v>
      </c>
      <c r="D95" s="171">
        <f t="shared" si="29"/>
        <v>25.16</v>
      </c>
      <c r="E95" s="171">
        <f t="shared" si="29"/>
        <v>25.16</v>
      </c>
      <c r="F95" s="171">
        <f t="shared" si="29"/>
        <v>25.16</v>
      </c>
      <c r="G95" s="171">
        <f t="shared" si="29"/>
        <v>25.16</v>
      </c>
      <c r="H95" s="166"/>
      <c r="I95" s="166"/>
    </row>
    <row r="96">
      <c r="A96" s="170" t="s">
        <v>88</v>
      </c>
      <c r="B96" s="171">
        <f>(1000/50)+4.5*1.35</f>
        <v>26.075</v>
      </c>
      <c r="C96" s="171">
        <f>(1000/100)+4.5*1.35</f>
        <v>16.075</v>
      </c>
      <c r="D96" s="171">
        <f>(1000/200)+4.5*1.35</f>
        <v>11.075</v>
      </c>
      <c r="E96" s="171">
        <f>(1000/300)+4.5*1.35</f>
        <v>9.408333333</v>
      </c>
      <c r="F96" s="171">
        <f>(1000/500)+4.5*1.35</f>
        <v>8.075</v>
      </c>
      <c r="G96" s="171">
        <f>(1000/1000)+4.5*1.35</f>
        <v>7.075</v>
      </c>
      <c r="H96" s="166"/>
      <c r="I96" s="166"/>
    </row>
    <row r="97">
      <c r="A97" s="170" t="s">
        <v>60</v>
      </c>
      <c r="B97" s="171">
        <v>10.0</v>
      </c>
      <c r="C97" s="171">
        <v>10.0</v>
      </c>
      <c r="D97" s="171">
        <v>10.0</v>
      </c>
      <c r="E97" s="171">
        <v>10.0</v>
      </c>
      <c r="F97" s="171">
        <v>10.0</v>
      </c>
      <c r="G97" s="171">
        <v>10.0</v>
      </c>
      <c r="H97" s="166"/>
      <c r="I97" s="166"/>
    </row>
    <row r="98">
      <c r="A98" s="172" t="s">
        <v>90</v>
      </c>
      <c r="B98" s="173">
        <f t="shared" ref="B98:G98" si="30">SUM(B91:B97)</f>
        <v>1303.485</v>
      </c>
      <c r="C98" s="173">
        <f t="shared" si="30"/>
        <v>1206.235</v>
      </c>
      <c r="D98" s="173">
        <f t="shared" si="30"/>
        <v>1156.235</v>
      </c>
      <c r="E98" s="173">
        <f t="shared" si="30"/>
        <v>1114.568333</v>
      </c>
      <c r="F98" s="173">
        <f t="shared" si="30"/>
        <v>997.235</v>
      </c>
      <c r="G98" s="173">
        <f t="shared" si="30"/>
        <v>908.985</v>
      </c>
      <c r="H98" s="166"/>
      <c r="I98" s="166"/>
    </row>
    <row r="99">
      <c r="A99" s="166"/>
      <c r="B99" s="166"/>
      <c r="C99" s="166"/>
      <c r="D99" s="166"/>
      <c r="E99" s="166"/>
      <c r="F99" s="166"/>
      <c r="G99" s="166"/>
      <c r="H99" s="166"/>
      <c r="I99" s="166"/>
    </row>
    <row r="100">
      <c r="A100" s="166"/>
      <c r="B100" s="166"/>
      <c r="C100" s="166"/>
      <c r="D100" s="166"/>
      <c r="E100" s="166"/>
      <c r="F100" s="166"/>
      <c r="G100" s="166"/>
      <c r="H100" s="166"/>
      <c r="I100" s="166"/>
    </row>
    <row r="101">
      <c r="A101" s="162" t="s">
        <v>74</v>
      </c>
      <c r="B101" s="164"/>
      <c r="C101" s="164"/>
      <c r="D101" s="164"/>
      <c r="E101" s="164"/>
      <c r="F101" s="164"/>
      <c r="G101" s="164"/>
      <c r="H101" s="166"/>
      <c r="I101" s="166"/>
    </row>
    <row r="102">
      <c r="A102" s="168" t="s">
        <v>78</v>
      </c>
      <c r="B102" s="169" t="s">
        <v>79</v>
      </c>
      <c r="C102" s="169" t="s">
        <v>3</v>
      </c>
      <c r="D102" s="169" t="s">
        <v>4</v>
      </c>
      <c r="E102" s="169" t="s">
        <v>5</v>
      </c>
      <c r="F102" s="169" t="s">
        <v>6</v>
      </c>
      <c r="G102" s="169" t="s">
        <v>80</v>
      </c>
      <c r="H102" s="166"/>
      <c r="I102" s="166"/>
    </row>
    <row r="103">
      <c r="A103" s="170" t="s">
        <v>81</v>
      </c>
      <c r="B103" s="171">
        <v>182.25</v>
      </c>
      <c r="C103" s="171">
        <v>135.0</v>
      </c>
      <c r="D103" s="171">
        <v>130.0</v>
      </c>
      <c r="E103" s="171">
        <v>120.0</v>
      </c>
      <c r="F103" s="171">
        <v>115.0</v>
      </c>
      <c r="G103" s="171">
        <v>105.0</v>
      </c>
      <c r="H103" s="166"/>
      <c r="I103" s="166"/>
    </row>
    <row r="104">
      <c r="A104" s="170" t="s">
        <v>82</v>
      </c>
      <c r="B104" s="171">
        <v>345.0</v>
      </c>
      <c r="C104" s="171">
        <v>325.0</v>
      </c>
      <c r="D104" s="171">
        <v>305.0</v>
      </c>
      <c r="E104" s="171">
        <v>290.0</v>
      </c>
      <c r="F104" s="171">
        <v>275.0</v>
      </c>
      <c r="G104" s="171">
        <v>260.0</v>
      </c>
      <c r="H104" s="166"/>
      <c r="I104" s="166"/>
    </row>
    <row r="105">
      <c r="A105" s="170" t="s">
        <v>83</v>
      </c>
      <c r="B105" s="171">
        <v>310.0</v>
      </c>
      <c r="C105" s="171">
        <v>290.0</v>
      </c>
      <c r="D105" s="171">
        <v>270.0</v>
      </c>
      <c r="E105" s="171">
        <v>255.0</v>
      </c>
      <c r="F105" s="171">
        <v>240.0</v>
      </c>
      <c r="G105" s="171">
        <v>225.0</v>
      </c>
      <c r="H105" s="166"/>
      <c r="I105" s="166"/>
    </row>
    <row r="106">
      <c r="A106" s="170" t="s">
        <v>84</v>
      </c>
      <c r="B106" s="171">
        <f t="shared" ref="B106:E106" si="31">300*1.35</f>
        <v>405</v>
      </c>
      <c r="C106" s="171">
        <f t="shared" si="31"/>
        <v>405</v>
      </c>
      <c r="D106" s="171">
        <f t="shared" si="31"/>
        <v>405</v>
      </c>
      <c r="E106" s="171">
        <f t="shared" si="31"/>
        <v>405</v>
      </c>
      <c r="F106" s="171">
        <f>240*1.35</f>
        <v>324</v>
      </c>
      <c r="G106" s="171">
        <f>205*1.35</f>
        <v>276.75</v>
      </c>
      <c r="H106" s="166"/>
      <c r="I106" s="166"/>
    </row>
    <row r="107">
      <c r="A107" s="170" t="s">
        <v>120</v>
      </c>
      <c r="B107" s="171">
        <f t="shared" ref="B107:G107" si="32">(7.4+4.35)*1.7</f>
        <v>19.975</v>
      </c>
      <c r="C107" s="171">
        <f t="shared" si="32"/>
        <v>19.975</v>
      </c>
      <c r="D107" s="171">
        <f t="shared" si="32"/>
        <v>19.975</v>
      </c>
      <c r="E107" s="171">
        <f t="shared" si="32"/>
        <v>19.975</v>
      </c>
      <c r="F107" s="171">
        <f t="shared" si="32"/>
        <v>19.975</v>
      </c>
      <c r="G107" s="171">
        <f t="shared" si="32"/>
        <v>19.975</v>
      </c>
      <c r="H107" s="166"/>
      <c r="I107" s="166"/>
    </row>
    <row r="108">
      <c r="A108" s="170" t="s">
        <v>88</v>
      </c>
      <c r="B108" s="171">
        <f>(1000/50)+4.5*1.35</f>
        <v>26.075</v>
      </c>
      <c r="C108" s="171">
        <f>(1000/100)+4.5*1.35</f>
        <v>16.075</v>
      </c>
      <c r="D108" s="171">
        <f>(1000/200)+4.5*1.35</f>
        <v>11.075</v>
      </c>
      <c r="E108" s="171">
        <f>(1000/300)+4.5*1.35</f>
        <v>9.408333333</v>
      </c>
      <c r="F108" s="171">
        <f>(1000/500)+4.5*1.35</f>
        <v>8.075</v>
      </c>
      <c r="G108" s="171">
        <f>(1000/1000)+4.5*1.35</f>
        <v>7.075</v>
      </c>
      <c r="H108" s="166"/>
      <c r="I108" s="166"/>
    </row>
    <row r="109">
      <c r="A109" s="170" t="s">
        <v>60</v>
      </c>
      <c r="B109" s="171">
        <v>10.0</v>
      </c>
      <c r="C109" s="171">
        <v>10.0</v>
      </c>
      <c r="D109" s="171">
        <v>10.0</v>
      </c>
      <c r="E109" s="171">
        <v>10.0</v>
      </c>
      <c r="F109" s="171">
        <v>10.0</v>
      </c>
      <c r="G109" s="171">
        <v>10.0</v>
      </c>
      <c r="H109" s="166"/>
      <c r="I109" s="166"/>
    </row>
    <row r="110">
      <c r="A110" s="172" t="s">
        <v>90</v>
      </c>
      <c r="B110" s="173">
        <f t="shared" ref="B110:G110" si="33">SUM(B103:B109)</f>
        <v>1298.3</v>
      </c>
      <c r="C110" s="173">
        <f t="shared" si="33"/>
        <v>1201.05</v>
      </c>
      <c r="D110" s="173">
        <f t="shared" si="33"/>
        <v>1151.05</v>
      </c>
      <c r="E110" s="173">
        <f t="shared" si="33"/>
        <v>1109.383333</v>
      </c>
      <c r="F110" s="173">
        <f t="shared" si="33"/>
        <v>992.05</v>
      </c>
      <c r="G110" s="173">
        <f t="shared" si="33"/>
        <v>903.8</v>
      </c>
      <c r="H110" s="166"/>
      <c r="I110" s="166"/>
    </row>
  </sheetData>
  <drawing r:id="rId1"/>
</worksheet>
</file>